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codeName="ThisWorkbook" defaultThemeVersion="164011"/>
  <mc:AlternateContent xmlns:mc="http://schemas.openxmlformats.org/markup-compatibility/2006">
    <mc:Choice Requires="x15">
      <x15ac:absPath xmlns:x15ac="http://schemas.microsoft.com/office/spreadsheetml/2010/11/ac" url="\\eawag\userdata\tosirodo\Desktop\"/>
    </mc:Choice>
  </mc:AlternateContent>
  <workbookProtection workbookAlgorithmName="SHA-512" workbookHashValue="co84lUoh/5UoZtgLJtDEkqFTtUDoJCcoixi8fxE+OFTWQbVF1s1N2HDw3aFiVmzt6XlCLV7ybqKjdcnA5x5CNQ==" workbookSaltValue="0t6QN8nNhormsYOl7JOIZw==" workbookSpinCount="100000" lockStructure="1"/>
  <bookViews>
    <workbookView xWindow="-120" yWindow="-120" windowWidth="29040" windowHeight="15720" tabRatio="758"/>
  </bookViews>
  <sheets>
    <sheet name="Info" sheetId="1" r:id="rId1"/>
    <sheet name="0) Guía" sheetId="3" state="hidden" r:id="rId2"/>
    <sheet name="0) Intro" sheetId="18" r:id="rId3"/>
    <sheet name="1) Costos" sheetId="7" r:id="rId4"/>
    <sheet name="2) Ingresos" sheetId="12" r:id="rId5"/>
    <sheet name="3) Parametros_modelo" sheetId="2" r:id="rId6"/>
    <sheet name="4) Resultados" sheetId="13" r:id="rId7"/>
    <sheet name="5) Calculos" sheetId="4" r:id="rId8"/>
    <sheet name="6) Anexos" sheetId="6" r:id="rId9"/>
    <sheet name="Language" sheetId="14" state="hidden" r:id="rId10"/>
    <sheet name="Pass" sheetId="19" state="hidden" r:id="rId11"/>
    <sheet name="Typical_costs" sheetId="16" state="hidden" r:id="rId12"/>
    <sheet name="Graphgen" sheetId="17" state="hidden" r:id="rId13"/>
    <sheet name="Modificaciones" sheetId="11" state="hidden" r:id="rId14"/>
  </sheets>
  <definedNames>
    <definedName name="_xlnm._FilterDatabase" localSheetId="0" hidden="1">Info!$B$2:$D$17</definedName>
    <definedName name="coverage">'3) Parametros_modelo'!$C$11</definedName>
    <definedName name="daycapgeneration">'3) Parametros_modelo'!$C$13</definedName>
    <definedName name="daysofgeneration">'3) Parametros_modelo'!$C$14</definedName>
    <definedName name="daysofwork">'3) Parametros_modelo'!$C$89</definedName>
    <definedName name="Dcapgeneration">'3) Parametros_modelo'!$C$13</definedName>
    <definedName name="densidadcarretera">'5) Calculos'!$F$72</definedName>
    <definedName name="factordistancia">'5) Calculos'!$F$71</definedName>
    <definedName name="HHsize">'3) Parametros_modelo'!$C$10</definedName>
    <definedName name="HHWorkdaywastemanaged">'5) Calculos'!$F$82</definedName>
    <definedName name="otherwastefraction">'3) Parametros_modelo'!$C$15</definedName>
    <definedName name="pobequivalente">'5) Calculos'!$F$99</definedName>
    <definedName name="population">'3) Parametros_modelo'!$C$9</definedName>
    <definedName name="Superficie">'3) Parametros_modelo'!$C$18</definedName>
    <definedName name="tasacompactacionrecoleccion">'3) Parametros_modelo'!$C$39</definedName>
    <definedName name="tasarecoleccion">'3) Parametros_modelo'!$C$106</definedName>
    <definedName name="totaldaygeneration">'5) Calculos'!$F$80</definedName>
    <definedName name="totaldayHHgeneration">'5) Calculos'!$F$80</definedName>
    <definedName name="totaldayHHtobecollected">'5) Calculos'!$F$81</definedName>
    <definedName name="totaldaytobecollected">'5) Calculos'!$F$81</definedName>
  </definedNames>
  <calcPr calcId="162913" iterate="1" iterateCount="100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41" i="14" l="1"/>
  <c r="C711" i="14"/>
  <c r="C709" i="14"/>
  <c r="C701" i="14"/>
  <c r="C609" i="14"/>
  <c r="C590" i="14"/>
  <c r="B373" i="14"/>
  <c r="B372" i="14"/>
  <c r="C373" i="14"/>
  <c r="C372" i="14"/>
  <c r="C375" i="14"/>
  <c r="C371" i="14"/>
  <c r="C370" i="14"/>
  <c r="C211" i="14"/>
  <c r="C691" i="14"/>
  <c r="C473" i="14"/>
  <c r="C469" i="14"/>
  <c r="C462" i="14"/>
  <c r="C221" i="14"/>
  <c r="C190" i="14"/>
  <c r="C188" i="14"/>
  <c r="C115" i="14" l="1"/>
  <c r="C49" i="14"/>
  <c r="B811" i="14" l="1"/>
  <c r="B776" i="14"/>
  <c r="B759" i="14"/>
  <c r="B750" i="14"/>
  <c r="B718" i="14"/>
  <c r="B658" i="14"/>
  <c r="B390" i="14"/>
  <c r="B389" i="14"/>
  <c r="B371" i="14"/>
  <c r="B370" i="14"/>
  <c r="B367" i="14"/>
  <c r="B215" i="14"/>
  <c r="B187" i="14"/>
  <c r="B123" i="14"/>
  <c r="B118" i="14"/>
  <c r="B59" i="14" l="1"/>
  <c r="J32" i="17" l="1"/>
  <c r="C123" i="2"/>
  <c r="F96" i="4" l="1"/>
  <c r="E96" i="4"/>
  <c r="D96" i="4"/>
  <c r="C96" i="4"/>
  <c r="H10" i="13"/>
  <c r="H16" i="13"/>
  <c r="H15" i="13"/>
  <c r="H14" i="13"/>
  <c r="H13" i="13"/>
  <c r="H9" i="13"/>
  <c r="H8" i="13"/>
  <c r="H7" i="13"/>
  <c r="H11" i="13"/>
  <c r="B12" i="13" s="1"/>
  <c r="C853" i="14"/>
  <c r="B853" i="14"/>
  <c r="C748" i="14"/>
  <c r="C184" i="2"/>
  <c r="C182" i="2"/>
  <c r="C181" i="2"/>
  <c r="C179" i="2"/>
  <c r="C178" i="2"/>
  <c r="C169" i="2"/>
  <c r="C46" i="2"/>
  <c r="C47" i="2"/>
  <c r="C48" i="2"/>
  <c r="C49" i="2"/>
  <c r="C60" i="2"/>
  <c r="C119" i="2"/>
  <c r="C125" i="2"/>
  <c r="C167" i="2"/>
  <c r="C168" i="2"/>
  <c r="C863" i="14"/>
  <c r="C862" i="14"/>
  <c r="C861" i="14"/>
  <c r="C860" i="14"/>
  <c r="C859" i="14"/>
  <c r="C858" i="14"/>
  <c r="B863" i="14"/>
  <c r="B862" i="14"/>
  <c r="B861" i="14"/>
  <c r="B860" i="14"/>
  <c r="B859" i="14"/>
  <c r="B858" i="14"/>
  <c r="B847" i="14"/>
  <c r="C847" i="14"/>
  <c r="B841" i="14"/>
  <c r="C811" i="14"/>
  <c r="C788" i="14"/>
  <c r="B788" i="14"/>
  <c r="C776" i="14"/>
  <c r="C775" i="14"/>
  <c r="C774" i="14"/>
  <c r="C773" i="14"/>
  <c r="C772" i="14"/>
  <c r="C762" i="14"/>
  <c r="C761" i="14"/>
  <c r="C760" i="14"/>
  <c r="C759" i="14"/>
  <c r="C758" i="14"/>
  <c r="C757" i="14"/>
  <c r="C756" i="14"/>
  <c r="C755" i="14"/>
  <c r="C754" i="14"/>
  <c r="C753" i="14"/>
  <c r="C752" i="14"/>
  <c r="C751" i="14"/>
  <c r="C750" i="14"/>
  <c r="C749" i="14"/>
  <c r="C747" i="14"/>
  <c r="C746" i="14"/>
  <c r="B775" i="14"/>
  <c r="B774" i="14"/>
  <c r="B773" i="14"/>
  <c r="B772" i="14"/>
  <c r="B771" i="14"/>
  <c r="B770" i="14"/>
  <c r="B769" i="14"/>
  <c r="B768" i="14"/>
  <c r="B767" i="14"/>
  <c r="B766" i="14"/>
  <c r="B765" i="14"/>
  <c r="B764" i="14"/>
  <c r="B763" i="14"/>
  <c r="B762" i="14"/>
  <c r="B761" i="14"/>
  <c r="B760" i="14"/>
  <c r="B758" i="14"/>
  <c r="B757" i="14"/>
  <c r="B756" i="14"/>
  <c r="B755" i="14"/>
  <c r="B754" i="14"/>
  <c r="B753" i="14"/>
  <c r="B752" i="14"/>
  <c r="B751" i="14"/>
  <c r="B749" i="14"/>
  <c r="B748" i="14"/>
  <c r="B747" i="14"/>
  <c r="B746" i="14"/>
  <c r="C745" i="14"/>
  <c r="B745" i="14"/>
  <c r="C723" i="14"/>
  <c r="B723" i="14"/>
  <c r="C721" i="14"/>
  <c r="B721" i="14"/>
  <c r="C720" i="14"/>
  <c r="B720" i="14"/>
  <c r="C719" i="14"/>
  <c r="B719" i="14"/>
  <c r="C718" i="14"/>
  <c r="C717" i="14"/>
  <c r="B717" i="14"/>
  <c r="C716" i="14"/>
  <c r="B716" i="14"/>
  <c r="C715" i="14"/>
  <c r="B715" i="14"/>
  <c r="C714" i="14"/>
  <c r="B714" i="14"/>
  <c r="C713" i="14"/>
  <c r="B713" i="14"/>
  <c r="C712" i="14"/>
  <c r="B712" i="14"/>
  <c r="B711" i="14"/>
  <c r="C710" i="14"/>
  <c r="B710" i="14"/>
  <c r="B709" i="14"/>
  <c r="C708" i="14"/>
  <c r="B708" i="14"/>
  <c r="C707" i="14"/>
  <c r="B707" i="14"/>
  <c r="C706" i="14"/>
  <c r="B706" i="14"/>
  <c r="C705" i="14"/>
  <c r="B705" i="14"/>
  <c r="C704" i="14"/>
  <c r="B704" i="14"/>
  <c r="C702" i="14"/>
  <c r="B702" i="14"/>
  <c r="B701" i="14"/>
  <c r="C700" i="14"/>
  <c r="B700" i="14"/>
  <c r="C699" i="14"/>
  <c r="B699" i="14"/>
  <c r="B691" i="14"/>
  <c r="C690" i="14"/>
  <c r="B690" i="14"/>
  <c r="C689" i="14"/>
  <c r="B689" i="14"/>
  <c r="C683" i="14"/>
  <c r="B683" i="14"/>
  <c r="C682" i="14"/>
  <c r="B682" i="14"/>
  <c r="C664" i="14"/>
  <c r="B664" i="14"/>
  <c r="C659" i="14"/>
  <c r="B659" i="14"/>
  <c r="C658" i="14"/>
  <c r="C653" i="14"/>
  <c r="B653" i="14"/>
  <c r="C649" i="14"/>
  <c r="B649" i="14"/>
  <c r="C648" i="14"/>
  <c r="B648" i="14"/>
  <c r="C645" i="14"/>
  <c r="B645" i="14"/>
  <c r="C643" i="14"/>
  <c r="B643" i="14"/>
  <c r="C632" i="14"/>
  <c r="B632" i="14"/>
  <c r="C631" i="14"/>
  <c r="B631" i="14"/>
  <c r="C630" i="14"/>
  <c r="B630" i="14"/>
  <c r="C629" i="14"/>
  <c r="B629" i="14"/>
  <c r="C625" i="14"/>
  <c r="B625" i="14"/>
  <c r="C624" i="14"/>
  <c r="B624" i="14"/>
  <c r="C623" i="14"/>
  <c r="B623" i="14"/>
  <c r="C622" i="14"/>
  <c r="B622" i="14"/>
  <c r="C621" i="14"/>
  <c r="B621" i="14"/>
  <c r="C620" i="14"/>
  <c r="B620" i="14"/>
  <c r="C619" i="14"/>
  <c r="B619" i="14"/>
  <c r="C618" i="14"/>
  <c r="B618" i="14"/>
  <c r="B609" i="14"/>
  <c r="C608" i="14"/>
  <c r="B608" i="14"/>
  <c r="C594" i="14"/>
  <c r="B594" i="14"/>
  <c r="C591" i="14"/>
  <c r="B591" i="14"/>
  <c r="B590" i="14"/>
  <c r="C589" i="14"/>
  <c r="B589" i="14"/>
  <c r="C567" i="14"/>
  <c r="B567" i="14"/>
  <c r="C566" i="14"/>
  <c r="B566" i="14"/>
  <c r="C565" i="14"/>
  <c r="B565" i="14"/>
  <c r="C474" i="14"/>
  <c r="B474" i="14"/>
  <c r="B473" i="14"/>
  <c r="B469" i="14"/>
  <c r="C464" i="14"/>
  <c r="B464" i="14"/>
  <c r="B462" i="14"/>
  <c r="C392" i="14"/>
  <c r="B392" i="14"/>
  <c r="C390" i="14"/>
  <c r="C389" i="14"/>
  <c r="C387" i="14"/>
  <c r="B387" i="14"/>
  <c r="C386" i="14"/>
  <c r="B386" i="14"/>
  <c r="C377" i="14"/>
  <c r="B377" i="14"/>
  <c r="C376" i="14"/>
  <c r="B376" i="14"/>
  <c r="B375" i="14"/>
  <c r="C374" i="14"/>
  <c r="B374" i="14"/>
  <c r="C367" i="14"/>
  <c r="C356" i="14"/>
  <c r="B356" i="14"/>
  <c r="C314" i="14"/>
  <c r="B314" i="14"/>
  <c r="C312" i="14"/>
  <c r="B312" i="14"/>
  <c r="C310" i="14"/>
  <c r="B310" i="14"/>
  <c r="C308" i="14"/>
  <c r="B308" i="14"/>
  <c r="C276" i="14"/>
  <c r="B276" i="14"/>
  <c r="C275" i="14"/>
  <c r="B275" i="14"/>
  <c r="C274" i="14"/>
  <c r="B274" i="14"/>
  <c r="C273" i="14"/>
  <c r="B273" i="14"/>
  <c r="C272" i="14"/>
  <c r="B272" i="14"/>
  <c r="C271" i="14"/>
  <c r="B271" i="14"/>
  <c r="B221" i="14"/>
  <c r="C215" i="14"/>
  <c r="B211" i="14"/>
  <c r="C191" i="14"/>
  <c r="B191" i="14"/>
  <c r="B190" i="14"/>
  <c r="C189" i="14"/>
  <c r="B189" i="14"/>
  <c r="B188" i="14"/>
  <c r="C187" i="14"/>
  <c r="C124" i="14"/>
  <c r="B124" i="14"/>
  <c r="C123" i="14"/>
  <c r="C121" i="14"/>
  <c r="B121" i="14"/>
  <c r="C120" i="14"/>
  <c r="B120" i="14"/>
  <c r="C119" i="14"/>
  <c r="B119" i="14"/>
  <c r="C118" i="14"/>
  <c r="C117" i="14"/>
  <c r="B117" i="14"/>
  <c r="C116" i="14"/>
  <c r="B116" i="14"/>
  <c r="B115" i="14"/>
  <c r="C72" i="14"/>
  <c r="B72" i="14"/>
  <c r="C61" i="14"/>
  <c r="B61" i="14"/>
  <c r="C60" i="14"/>
  <c r="B60" i="14"/>
  <c r="C59" i="14"/>
  <c r="C57" i="14"/>
  <c r="B57" i="14"/>
  <c r="B49" i="14"/>
  <c r="C37" i="14"/>
  <c r="B37" i="14"/>
  <c r="C34" i="14"/>
  <c r="B34" i="14"/>
  <c r="C23" i="14"/>
  <c r="B23" i="14"/>
  <c r="C22" i="14"/>
  <c r="B22" i="14"/>
  <c r="C21" i="14"/>
  <c r="B21" i="14"/>
  <c r="S9" i="16"/>
  <c r="R9" i="16"/>
  <c r="P9" i="16"/>
  <c r="O9" i="16"/>
  <c r="M9" i="16"/>
  <c r="L9" i="16"/>
  <c r="J9" i="16"/>
  <c r="I9" i="16"/>
  <c r="G9" i="16"/>
  <c r="F9" i="16"/>
  <c r="D9" i="16"/>
  <c r="C9" i="16"/>
  <c r="C19" i="16" s="1"/>
  <c r="C5" i="14"/>
  <c r="B5" i="14"/>
  <c r="J627" i="7"/>
  <c r="J628" i="7"/>
  <c r="J629" i="7"/>
  <c r="I625" i="7"/>
  <c r="I626" i="7"/>
  <c r="I627" i="7"/>
  <c r="I628" i="7"/>
  <c r="I629" i="7"/>
  <c r="I630" i="7"/>
  <c r="J630" i="7" s="1"/>
  <c r="I631" i="7"/>
  <c r="J631" i="7" s="1"/>
  <c r="I615" i="7"/>
  <c r="J615" i="7" s="1"/>
  <c r="I616" i="7"/>
  <c r="J616" i="7" s="1"/>
  <c r="I617" i="7"/>
  <c r="J617" i="7" s="1"/>
  <c r="I618" i="7"/>
  <c r="J618" i="7" s="1"/>
  <c r="I619" i="7"/>
  <c r="M259" i="4"/>
  <c r="I259" i="4"/>
  <c r="H259" i="4"/>
  <c r="G259" i="4"/>
  <c r="F259" i="4"/>
  <c r="E259" i="4"/>
  <c r="D259" i="4"/>
  <c r="M256" i="4"/>
  <c r="I256" i="4"/>
  <c r="H256" i="4"/>
  <c r="G256" i="4"/>
  <c r="F256" i="4"/>
  <c r="E256" i="4"/>
  <c r="D256" i="4"/>
  <c r="M253" i="4"/>
  <c r="I253" i="4"/>
  <c r="H253" i="4"/>
  <c r="G253" i="4"/>
  <c r="F253" i="4"/>
  <c r="E253" i="4"/>
  <c r="D253" i="4"/>
  <c r="C259" i="4"/>
  <c r="C256" i="4"/>
  <c r="C253" i="4"/>
  <c r="CD70" i="13"/>
  <c r="CF70" i="13"/>
  <c r="CH70" i="13"/>
  <c r="CJ70" i="13"/>
  <c r="CL70" i="13"/>
  <c r="CN70" i="13"/>
  <c r="CD71" i="13"/>
  <c r="CF71" i="13"/>
  <c r="CH71" i="13"/>
  <c r="CJ71" i="13"/>
  <c r="CL71" i="13"/>
  <c r="CN71" i="13"/>
  <c r="BI43" i="13"/>
  <c r="BG43" i="13"/>
  <c r="BE43" i="13"/>
  <c r="BC43" i="13"/>
  <c r="BA43" i="13"/>
  <c r="AY43" i="13"/>
  <c r="BI42" i="13"/>
  <c r="BG42" i="13"/>
  <c r="BE42" i="13"/>
  <c r="BC42" i="13"/>
  <c r="BA42" i="13"/>
  <c r="AY42" i="13"/>
  <c r="BI41" i="13"/>
  <c r="BG41" i="13"/>
  <c r="BE41" i="13"/>
  <c r="BC41" i="13"/>
  <c r="BA41" i="13"/>
  <c r="AY41" i="13"/>
  <c r="BM39" i="13"/>
  <c r="BK39" i="13"/>
  <c r="BI39" i="13"/>
  <c r="BG39" i="13"/>
  <c r="BE39" i="13"/>
  <c r="BC39" i="13"/>
  <c r="BA39" i="13"/>
  <c r="AY39" i="13"/>
  <c r="AY79" i="13"/>
  <c r="AY12" i="13" s="1"/>
  <c r="L25" i="17" s="1"/>
  <c r="BA79" i="13"/>
  <c r="BA12" i="13" s="1"/>
  <c r="M25" i="17" s="1"/>
  <c r="BC79" i="13"/>
  <c r="BC12" i="13" s="1"/>
  <c r="N25" i="17" s="1"/>
  <c r="BE79" i="13"/>
  <c r="BE12" i="13" s="1"/>
  <c r="O25" i="17" s="1"/>
  <c r="BG79" i="13"/>
  <c r="BG12" i="13" s="1"/>
  <c r="P25" i="17" s="1"/>
  <c r="BI79" i="13"/>
  <c r="BI12" i="13" s="1"/>
  <c r="Q25" i="17" s="1"/>
  <c r="AY80" i="13"/>
  <c r="AY11" i="13" s="1"/>
  <c r="L24" i="17" s="1"/>
  <c r="BA80" i="13"/>
  <c r="BA11" i="13" s="1"/>
  <c r="M24" i="17" s="1"/>
  <c r="BC80" i="13"/>
  <c r="BC11" i="13" s="1"/>
  <c r="N24" i="17" s="1"/>
  <c r="BE80" i="13"/>
  <c r="BE11" i="13" s="1"/>
  <c r="O24" i="17" s="1"/>
  <c r="BG80" i="13"/>
  <c r="BG11" i="13" s="1"/>
  <c r="P24" i="17" s="1"/>
  <c r="BI80" i="13"/>
  <c r="BI11" i="13" s="1"/>
  <c r="Q24" i="17" s="1"/>
  <c r="C18" i="16"/>
  <c r="C17" i="16"/>
  <c r="C16" i="16"/>
  <c r="C15" i="16"/>
  <c r="U22" i="13"/>
  <c r="G11" i="17" s="1"/>
  <c r="S15" i="16"/>
  <c r="M231" i="4" l="1"/>
  <c r="I231" i="4"/>
  <c r="D19" i="16"/>
  <c r="R19" i="16"/>
  <c r="S19" i="16"/>
  <c r="O19" i="16"/>
  <c r="P19" i="16"/>
  <c r="L19" i="16"/>
  <c r="M19" i="16"/>
  <c r="I17" i="16"/>
  <c r="I18" i="16"/>
  <c r="I19" i="16"/>
  <c r="J19" i="16"/>
  <c r="F19" i="16"/>
  <c r="G19" i="16"/>
  <c r="S8" i="16"/>
  <c r="S7" i="16"/>
  <c r="S6" i="16"/>
  <c r="R8" i="16"/>
  <c r="R7" i="16"/>
  <c r="R17" i="16" s="1"/>
  <c r="R6" i="16"/>
  <c r="R16" i="16" s="1"/>
  <c r="P8" i="16"/>
  <c r="P7" i="16"/>
  <c r="P6" i="16"/>
  <c r="P5" i="16"/>
  <c r="O8" i="16"/>
  <c r="O18" i="16" s="1"/>
  <c r="O7" i="16"/>
  <c r="O17" i="16" s="1"/>
  <c r="O6" i="16"/>
  <c r="O16" i="16" s="1"/>
  <c r="O5" i="16"/>
  <c r="M8" i="16"/>
  <c r="M7" i="16"/>
  <c r="M6" i="16"/>
  <c r="M5" i="16"/>
  <c r="L8" i="16"/>
  <c r="L18" i="16" s="1"/>
  <c r="L7" i="16"/>
  <c r="L17" i="16" s="1"/>
  <c r="L6" i="16"/>
  <c r="L16" i="16" s="1"/>
  <c r="L5" i="16"/>
  <c r="J6" i="16"/>
  <c r="J5" i="16"/>
  <c r="I6" i="16"/>
  <c r="I16" i="16" s="1"/>
  <c r="I5" i="16"/>
  <c r="G8" i="16"/>
  <c r="G7" i="16"/>
  <c r="G6" i="16"/>
  <c r="G5" i="16"/>
  <c r="F8" i="16"/>
  <c r="F18" i="16" s="1"/>
  <c r="F7" i="16"/>
  <c r="F17" i="16" s="1"/>
  <c r="F6" i="16"/>
  <c r="F16" i="16" s="1"/>
  <c r="F5" i="16"/>
  <c r="F15" i="16" s="1"/>
  <c r="R15" i="16"/>
  <c r="E114" i="12"/>
  <c r="F53" i="12"/>
  <c r="I53" i="12"/>
  <c r="F22" i="12"/>
  <c r="I22" i="12"/>
  <c r="F23" i="12"/>
  <c r="I23" i="12"/>
  <c r="A1" i="14"/>
  <c r="A9" i="14" s="1"/>
  <c r="D12" i="1" s="1"/>
  <c r="C25" i="6"/>
  <c r="A874" i="14" l="1"/>
  <c r="M44" i="13" s="1"/>
  <c r="A837" i="14"/>
  <c r="M42" i="13" s="1"/>
  <c r="A836" i="14"/>
  <c r="M41" i="13" s="1"/>
  <c r="A835" i="14"/>
  <c r="M40" i="13" s="1"/>
  <c r="A838" i="14"/>
  <c r="M43" i="13" s="1"/>
  <c r="A833" i="14"/>
  <c r="M37" i="13" s="1"/>
  <c r="A834" i="14"/>
  <c r="M38" i="13" s="1"/>
  <c r="A73" i="14"/>
  <c r="B10" i="13" s="1"/>
  <c r="A97" i="14"/>
  <c r="G21" i="18" s="1"/>
  <c r="A96" i="14"/>
  <c r="F21" i="18" s="1"/>
  <c r="A95" i="14"/>
  <c r="E17" i="18" s="1"/>
  <c r="A853" i="14"/>
  <c r="B41" i="18" s="1"/>
  <c r="A69" i="14"/>
  <c r="B5" i="18" s="1"/>
  <c r="A319" i="14"/>
  <c r="D123" i="2" s="1"/>
  <c r="A856" i="14"/>
  <c r="D44" i="18" s="1"/>
  <c r="A855" i="14"/>
  <c r="C44" i="18" s="1"/>
  <c r="A6" i="14"/>
  <c r="B7" i="1" s="1"/>
  <c r="A4" i="14"/>
  <c r="B5" i="1" s="1"/>
  <c r="A5" i="14"/>
  <c r="B6" i="1" s="1"/>
  <c r="A13" i="14"/>
  <c r="D16" i="1" s="1"/>
  <c r="A3" i="14"/>
  <c r="B3" i="1" s="1"/>
  <c r="A864" i="14"/>
  <c r="K33" i="13" s="1"/>
  <c r="A873" i="14"/>
  <c r="A871" i="14"/>
  <c r="CX26" i="13" s="1"/>
  <c r="A868" i="14"/>
  <c r="AC59" i="13" s="1"/>
  <c r="A867" i="14"/>
  <c r="S60" i="13" s="1"/>
  <c r="A872" i="14"/>
  <c r="B23" i="13" s="1"/>
  <c r="A875" i="14"/>
  <c r="V7" i="13" s="1"/>
  <c r="A876" i="14"/>
  <c r="AV25" i="13" s="1"/>
  <c r="A869" i="14"/>
  <c r="BU24" i="13" s="1"/>
  <c r="A866" i="14"/>
  <c r="AI30" i="13" s="1"/>
  <c r="A865" i="14"/>
  <c r="W29" i="13" s="1"/>
  <c r="A877" i="14"/>
  <c r="AV44" i="13" s="1"/>
  <c r="A870" i="14"/>
  <c r="BW60" i="13" s="1"/>
  <c r="A832" i="14"/>
  <c r="B45" i="13" s="1"/>
  <c r="A31" i="14"/>
  <c r="G974" i="7" s="1"/>
  <c r="A278" i="14"/>
  <c r="A277" i="14"/>
  <c r="C93" i="2" s="1"/>
  <c r="C94" i="2" s="1"/>
  <c r="A398" i="14"/>
  <c r="B186" i="2" s="1"/>
  <c r="A400" i="14"/>
  <c r="D190" i="2" s="1"/>
  <c r="A399" i="14"/>
  <c r="D188" i="2" s="1"/>
  <c r="A401" i="14"/>
  <c r="D192" i="2" s="1"/>
  <c r="A858" i="14"/>
  <c r="A778" i="14"/>
  <c r="AV6" i="13" s="1"/>
  <c r="U49" i="17" s="1"/>
  <c r="A773" i="14"/>
  <c r="A125" i="14"/>
  <c r="S29" i="13" s="1"/>
  <c r="A126" i="14"/>
  <c r="F14" i="17" s="1"/>
  <c r="A777" i="14"/>
  <c r="AW23" i="13" s="1"/>
  <c r="A129" i="14"/>
  <c r="B2" i="17" s="1"/>
  <c r="A130" i="14"/>
  <c r="B3" i="17" s="1"/>
  <c r="A131" i="14"/>
  <c r="B4" i="17" s="1"/>
  <c r="A134" i="14"/>
  <c r="B7" i="17" s="1"/>
  <c r="A132" i="14"/>
  <c r="B5" i="17" s="1"/>
  <c r="A133" i="14"/>
  <c r="B6" i="17" s="1"/>
  <c r="A841" i="14"/>
  <c r="A72" i="14"/>
  <c r="G15" i="16"/>
  <c r="M16" i="16"/>
  <c r="P17" i="16"/>
  <c r="P18" i="16"/>
  <c r="M15" i="16"/>
  <c r="P16" i="16"/>
  <c r="G17" i="16"/>
  <c r="S18" i="16"/>
  <c r="G18" i="16"/>
  <c r="M18" i="16"/>
  <c r="S16" i="16"/>
  <c r="P15" i="16"/>
  <c r="S17" i="16"/>
  <c r="R18" i="16"/>
  <c r="O15" i="16"/>
  <c r="M17" i="16"/>
  <c r="L15" i="16"/>
  <c r="J15" i="16"/>
  <c r="J16" i="16"/>
  <c r="I15" i="16"/>
  <c r="G16" i="16"/>
  <c r="A863" i="14"/>
  <c r="B50" i="18" s="1"/>
  <c r="A846" i="14"/>
  <c r="J44" i="17" s="1"/>
  <c r="A854" i="14"/>
  <c r="C43" i="18" s="1"/>
  <c r="A852" i="14"/>
  <c r="A857" i="14"/>
  <c r="A851" i="14"/>
  <c r="A848" i="14"/>
  <c r="A859" i="14"/>
  <c r="B46" i="18" s="1"/>
  <c r="A850" i="14"/>
  <c r="A847" i="14"/>
  <c r="J45" i="17" s="1"/>
  <c r="A862" i="14"/>
  <c r="B49" i="18" s="1"/>
  <c r="A861" i="14"/>
  <c r="B48" i="18" s="1"/>
  <c r="A845" i="14"/>
  <c r="J43" i="17" s="1"/>
  <c r="A860" i="14"/>
  <c r="B47" i="18" s="1"/>
  <c r="A844" i="14"/>
  <c r="J42" i="17" s="1"/>
  <c r="A843" i="14"/>
  <c r="J41" i="17" s="1"/>
  <c r="A842" i="14"/>
  <c r="J40" i="17" s="1"/>
  <c r="A849" i="14"/>
  <c r="A840" i="14"/>
  <c r="A839" i="14"/>
  <c r="A827" i="14"/>
  <c r="G35" i="13" s="1"/>
  <c r="A829" i="14"/>
  <c r="H39" i="13" s="1"/>
  <c r="A830" i="14"/>
  <c r="H44" i="13" s="1"/>
  <c r="A828" i="14"/>
  <c r="H38" i="13" s="1"/>
  <c r="A831" i="14"/>
  <c r="H45" i="13" s="1"/>
  <c r="A824" i="14"/>
  <c r="B43" i="6" s="1"/>
  <c r="A825" i="14"/>
  <c r="L4" i="6" s="1"/>
  <c r="A820" i="14"/>
  <c r="B38" i="6" s="1"/>
  <c r="AV43" i="13" s="1"/>
  <c r="A821" i="14"/>
  <c r="B39" i="6" s="1"/>
  <c r="A826" i="14"/>
  <c r="L26" i="6" s="1"/>
  <c r="A819" i="14"/>
  <c r="B37" i="6" s="1"/>
  <c r="AV42" i="13" s="1"/>
  <c r="A822" i="14"/>
  <c r="B41" i="6" s="1"/>
  <c r="A823" i="14"/>
  <c r="B42" i="6" s="1"/>
  <c r="A818" i="14"/>
  <c r="B36" i="6" s="1"/>
  <c r="AV41" i="13" s="1"/>
  <c r="A816" i="14"/>
  <c r="B34" i="6" s="1"/>
  <c r="A817" i="14"/>
  <c r="B35" i="6" s="1"/>
  <c r="AV40" i="13" s="1"/>
  <c r="A788" i="14"/>
  <c r="B4" i="6" s="1"/>
  <c r="A800" i="14"/>
  <c r="B16" i="6" s="1"/>
  <c r="AV35" i="13" s="1"/>
  <c r="A812" i="14"/>
  <c r="B30" i="6" s="1"/>
  <c r="A786" i="14"/>
  <c r="AV29" i="13" s="1"/>
  <c r="A799" i="14"/>
  <c r="B15" i="6" s="1"/>
  <c r="AV34" i="13" s="1"/>
  <c r="A779" i="14"/>
  <c r="A789" i="14"/>
  <c r="B5" i="6" s="1"/>
  <c r="A801" i="14"/>
  <c r="B17" i="6" s="1"/>
  <c r="A813" i="14"/>
  <c r="B31" i="6" s="1"/>
  <c r="AV36" i="13" s="1"/>
  <c r="A797" i="14"/>
  <c r="B13" i="6" s="1"/>
  <c r="AV32" i="13" s="1"/>
  <c r="A798" i="14"/>
  <c r="B14" i="6" s="1"/>
  <c r="AV33" i="13" s="1"/>
  <c r="A780" i="14"/>
  <c r="AY7" i="13" s="1"/>
  <c r="A790" i="14"/>
  <c r="B6" i="6" s="1"/>
  <c r="A802" i="14"/>
  <c r="B18" i="6" s="1"/>
  <c r="A814" i="14"/>
  <c r="B32" i="6" s="1"/>
  <c r="AV37" i="13" s="1"/>
  <c r="A815" i="14"/>
  <c r="B33" i="6" s="1"/>
  <c r="A806" i="14"/>
  <c r="B23" i="6" s="1"/>
  <c r="A796" i="14"/>
  <c r="B12" i="6" s="1"/>
  <c r="AV31" i="13" s="1"/>
  <c r="A781" i="14"/>
  <c r="BC7" i="13" s="1"/>
  <c r="A791" i="14"/>
  <c r="B7" i="6" s="1"/>
  <c r="A803" i="14"/>
  <c r="B19" i="6" s="1"/>
  <c r="A782" i="14"/>
  <c r="BG7" i="13" s="1"/>
  <c r="A792" i="14"/>
  <c r="B8" i="6" s="1"/>
  <c r="A804" i="14"/>
  <c r="B21" i="6" s="1"/>
  <c r="A794" i="14"/>
  <c r="B10" i="6" s="1"/>
  <c r="A795" i="14"/>
  <c r="B11" i="6" s="1"/>
  <c r="AV30" i="13" s="1"/>
  <c r="A787" i="14"/>
  <c r="B3" i="6" s="1"/>
  <c r="A783" i="14"/>
  <c r="BK7" i="13" s="1"/>
  <c r="A793" i="14"/>
  <c r="B9" i="6" s="1"/>
  <c r="A805" i="14"/>
  <c r="B22" i="6" s="1"/>
  <c r="A784" i="14"/>
  <c r="A807" i="14"/>
  <c r="B24" i="6" s="1"/>
  <c r="A808" i="14"/>
  <c r="B25" i="6" s="1"/>
  <c r="A809" i="14"/>
  <c r="B26" i="6" s="1"/>
  <c r="A810" i="14"/>
  <c r="B27" i="6" s="1"/>
  <c r="A811" i="14"/>
  <c r="B28" i="6" s="1"/>
  <c r="A785" i="14"/>
  <c r="A756" i="14"/>
  <c r="AV78" i="13" s="1"/>
  <c r="A768" i="14"/>
  <c r="AV14" i="13" s="1"/>
  <c r="J27" i="17" s="1"/>
  <c r="A774" i="14"/>
  <c r="AV20" i="13" s="1"/>
  <c r="A767" i="14"/>
  <c r="AV13" i="13" s="1"/>
  <c r="J26" i="17" s="1"/>
  <c r="A757" i="14"/>
  <c r="AV79" i="13" s="1"/>
  <c r="A769" i="14"/>
  <c r="AV15" i="13" s="1"/>
  <c r="J28" i="17" s="1"/>
  <c r="A760" i="14"/>
  <c r="AV82" i="13" s="1"/>
  <c r="A772" i="14"/>
  <c r="AV18" i="13" s="1"/>
  <c r="A762" i="14"/>
  <c r="AV84" i="13" s="1"/>
  <c r="A764" i="14"/>
  <c r="AV10" i="13" s="1"/>
  <c r="J23" i="17" s="1"/>
  <c r="A765" i="14"/>
  <c r="AV11" i="13" s="1"/>
  <c r="J24" i="17" s="1"/>
  <c r="A754" i="14"/>
  <c r="AV76" i="13" s="1"/>
  <c r="A758" i="14"/>
  <c r="AV80" i="13" s="1"/>
  <c r="A770" i="14"/>
  <c r="AV16" i="13" s="1"/>
  <c r="J29" i="17" s="1"/>
  <c r="A775" i="14"/>
  <c r="AV21" i="13" s="1"/>
  <c r="A759" i="14"/>
  <c r="AV81" i="13" s="1"/>
  <c r="A771" i="14"/>
  <c r="AV17" i="13" s="1"/>
  <c r="J31" i="17" s="1"/>
  <c r="A776" i="14"/>
  <c r="AV22" i="13" s="1"/>
  <c r="A761" i="14"/>
  <c r="AV83" i="13" s="1"/>
  <c r="A752" i="14"/>
  <c r="AV74" i="13" s="1"/>
  <c r="A753" i="14"/>
  <c r="AV75" i="13" s="1"/>
  <c r="A766" i="14"/>
  <c r="AV12" i="13" s="1"/>
  <c r="J25" i="17" s="1"/>
  <c r="A755" i="14"/>
  <c r="AV77" i="13" s="1"/>
  <c r="A763" i="14"/>
  <c r="AV9" i="13" s="1"/>
  <c r="A592" i="14"/>
  <c r="Q175" i="4" s="1"/>
  <c r="A591" i="14"/>
  <c r="B179" i="4" s="1"/>
  <c r="A474" i="14"/>
  <c r="B65" i="4" s="1"/>
  <c r="A486" i="14"/>
  <c r="Q73" i="4" s="1"/>
  <c r="A497" i="14"/>
  <c r="B89" i="4" s="1"/>
  <c r="A508" i="14"/>
  <c r="B101" i="4" s="1"/>
  <c r="A520" i="14"/>
  <c r="B113" i="4" s="1"/>
  <c r="A532" i="14"/>
  <c r="B121" i="4" s="1"/>
  <c r="A543" i="14"/>
  <c r="Q129" i="4" s="1"/>
  <c r="A555" i="14"/>
  <c r="B144" i="4" s="1"/>
  <c r="A567" i="14"/>
  <c r="B157" i="4" s="1"/>
  <c r="A579" i="14"/>
  <c r="B168" i="4" s="1"/>
  <c r="A604" i="14"/>
  <c r="B193" i="4" s="1"/>
  <c r="A616" i="14"/>
  <c r="B203" i="4" s="1"/>
  <c r="A628" i="14"/>
  <c r="B215" i="4" s="1"/>
  <c r="A640" i="14"/>
  <c r="B227" i="4" s="1"/>
  <c r="A652" i="14"/>
  <c r="B240" i="4" s="1"/>
  <c r="A664" i="14"/>
  <c r="B250" i="4" s="1"/>
  <c r="A674" i="14"/>
  <c r="Q256" i="4" s="1"/>
  <c r="A686" i="14"/>
  <c r="B271" i="4" s="1"/>
  <c r="A698" i="14"/>
  <c r="B283" i="4" s="1"/>
  <c r="A710" i="14"/>
  <c r="B296" i="4" s="1"/>
  <c r="A722" i="14"/>
  <c r="B309" i="4" s="1"/>
  <c r="A734" i="14"/>
  <c r="B322" i="4" s="1"/>
  <c r="A745" i="14"/>
  <c r="AV67" i="13" s="1"/>
  <c r="A679" i="14"/>
  <c r="B264" i="4" s="1"/>
  <c r="A738" i="14"/>
  <c r="B327" i="4" s="1"/>
  <c r="A551" i="14"/>
  <c r="B140" i="4" s="1"/>
  <c r="A730" i="14"/>
  <c r="B318" i="4" s="1"/>
  <c r="A564" i="14"/>
  <c r="B154" i="4" s="1"/>
  <c r="A601" i="14"/>
  <c r="B190" i="4" s="1"/>
  <c r="A671" i="14"/>
  <c r="B258" i="4" s="1"/>
  <c r="B191" i="2" s="1"/>
  <c r="A696" i="14"/>
  <c r="B281" i="4" s="1"/>
  <c r="A566" i="14"/>
  <c r="B156" i="4" s="1"/>
  <c r="A651" i="14"/>
  <c r="B239" i="4" s="1"/>
  <c r="A475" i="14"/>
  <c r="B67" i="4" s="1"/>
  <c r="A487" i="14"/>
  <c r="Q77" i="4" s="1"/>
  <c r="A498" i="14"/>
  <c r="B90" i="4" s="1"/>
  <c r="A509" i="14"/>
  <c r="B102" i="4" s="1"/>
  <c r="A521" i="14"/>
  <c r="B114" i="4" s="1"/>
  <c r="A544" i="14"/>
  <c r="B133" i="4" s="1"/>
  <c r="A556" i="14"/>
  <c r="B145" i="4" s="1"/>
  <c r="A568" i="14"/>
  <c r="Q152" i="4" s="1"/>
  <c r="A580" i="14"/>
  <c r="B169" i="4" s="1"/>
  <c r="A593" i="14"/>
  <c r="B181" i="4" s="1"/>
  <c r="A605" i="14"/>
  <c r="B194" i="4" s="1"/>
  <c r="A617" i="14"/>
  <c r="B204" i="4" s="1"/>
  <c r="A629" i="14"/>
  <c r="B216" i="4" s="1"/>
  <c r="A641" i="14"/>
  <c r="B228" i="4" s="1"/>
  <c r="A653" i="14"/>
  <c r="B241" i="4" s="1"/>
  <c r="A665" i="14"/>
  <c r="Q244" i="4" s="1"/>
  <c r="A675" i="14"/>
  <c r="Q259" i="4" s="1"/>
  <c r="A687" i="14"/>
  <c r="B272" i="4" s="1"/>
  <c r="A699" i="14"/>
  <c r="B284" i="4" s="1"/>
  <c r="A711" i="14"/>
  <c r="B297" i="4" s="1"/>
  <c r="A723" i="14"/>
  <c r="B310" i="4" s="1"/>
  <c r="A735" i="14"/>
  <c r="B323" i="4" s="1"/>
  <c r="A746" i="14"/>
  <c r="AV68" i="13" s="1"/>
  <c r="A575" i="14"/>
  <c r="B164" i="4" s="1"/>
  <c r="A682" i="14"/>
  <c r="B267" i="4" s="1"/>
  <c r="A483" i="14"/>
  <c r="B77" i="4" s="1"/>
  <c r="A661" i="14"/>
  <c r="B247" i="4" s="1"/>
  <c r="A496" i="14"/>
  <c r="B88" i="4" s="1"/>
  <c r="A603" i="14"/>
  <c r="B192" i="4" s="1"/>
  <c r="A709" i="14"/>
  <c r="B295" i="4" s="1"/>
  <c r="A476" i="14"/>
  <c r="B70" i="4" s="1"/>
  <c r="A488" i="14"/>
  <c r="B79" i="4" s="1"/>
  <c r="A499" i="14"/>
  <c r="B91" i="4" s="1"/>
  <c r="A510" i="14"/>
  <c r="B103" i="4" s="1"/>
  <c r="A522" i="14"/>
  <c r="B115" i="4" s="1"/>
  <c r="A533" i="14"/>
  <c r="B123" i="4" s="1"/>
  <c r="A545" i="14"/>
  <c r="B134" i="4" s="1"/>
  <c r="A557" i="14"/>
  <c r="B146" i="4" s="1"/>
  <c r="A569" i="14"/>
  <c r="Q153" i="4" s="1"/>
  <c r="A581" i="14"/>
  <c r="B170" i="4" s="1"/>
  <c r="A594" i="14"/>
  <c r="B182" i="4" s="1"/>
  <c r="A606" i="14"/>
  <c r="B195" i="4" s="1"/>
  <c r="A618" i="14"/>
  <c r="B205" i="4" s="1"/>
  <c r="A630" i="14"/>
  <c r="B217" i="4" s="1"/>
  <c r="A642" i="14"/>
  <c r="B230" i="4" s="1"/>
  <c r="A654" i="14"/>
  <c r="Q236" i="4" s="1"/>
  <c r="A666" i="14"/>
  <c r="A676" i="14"/>
  <c r="B261" i="4" s="1"/>
  <c r="A688" i="14"/>
  <c r="B273" i="4" s="1"/>
  <c r="A700" i="14"/>
  <c r="B285" i="4" s="1"/>
  <c r="A712" i="14"/>
  <c r="B298" i="4" s="1"/>
  <c r="A724" i="14"/>
  <c r="B311" i="4" s="1"/>
  <c r="A747" i="14"/>
  <c r="AV69" i="13" s="1"/>
  <c r="A749" i="14"/>
  <c r="AV71" i="13" s="1"/>
  <c r="A703" i="14"/>
  <c r="B289" i="4" s="1"/>
  <c r="A717" i="14"/>
  <c r="B303" i="4" s="1"/>
  <c r="A587" i="14"/>
  <c r="B175" i="4" s="1"/>
  <c r="A718" i="14"/>
  <c r="B304" i="4" s="1"/>
  <c r="A576" i="14"/>
  <c r="B165" i="4" s="1"/>
  <c r="A637" i="14"/>
  <c r="B224" i="4" s="1"/>
  <c r="A719" i="14"/>
  <c r="B305" i="4" s="1"/>
  <c r="A743" i="14"/>
  <c r="B332" i="4" s="1"/>
  <c r="A554" i="14"/>
  <c r="B143" i="4" s="1"/>
  <c r="A685" i="14"/>
  <c r="B270" i="4" s="1"/>
  <c r="A477" i="14"/>
  <c r="B71" i="4" s="1"/>
  <c r="A489" i="14"/>
  <c r="B80" i="4" s="1"/>
  <c r="A500" i="14"/>
  <c r="B92" i="4" s="1"/>
  <c r="A511" i="14"/>
  <c r="B104" i="4" s="1"/>
  <c r="A523" i="14"/>
  <c r="Q81" i="4" s="1"/>
  <c r="A534" i="14"/>
  <c r="B124" i="4" s="1"/>
  <c r="A546" i="14"/>
  <c r="B135" i="4" s="1"/>
  <c r="A558" i="14"/>
  <c r="B147" i="4" s="1"/>
  <c r="A570" i="14"/>
  <c r="B159" i="4" s="1"/>
  <c r="A582" i="14"/>
  <c r="Q162" i="4" s="1"/>
  <c r="A595" i="14"/>
  <c r="B184" i="4" s="1"/>
  <c r="A607" i="14"/>
  <c r="B196" i="4" s="1"/>
  <c r="A619" i="14"/>
  <c r="B206" i="4" s="1"/>
  <c r="A631" i="14"/>
  <c r="B218" i="4" s="1"/>
  <c r="A643" i="14"/>
  <c r="B231" i="4" s="1"/>
  <c r="A655" i="14"/>
  <c r="Q237" i="4" s="1"/>
  <c r="A667" i="14"/>
  <c r="B252" i="4" s="1"/>
  <c r="B187" i="2" s="1"/>
  <c r="A677" i="14"/>
  <c r="B262" i="4" s="1"/>
  <c r="A689" i="14"/>
  <c r="B274" i="4" s="1"/>
  <c r="A701" i="14"/>
  <c r="B286" i="4" s="1"/>
  <c r="A713" i="14"/>
  <c r="B299" i="4" s="1"/>
  <c r="A725" i="14"/>
  <c r="B312" i="4" s="1"/>
  <c r="A736" i="14"/>
  <c r="B325" i="4" s="1"/>
  <c r="A748" i="14"/>
  <c r="AV70" i="13" s="1"/>
  <c r="A726" i="14"/>
  <c r="B313" i="4" s="1"/>
  <c r="A691" i="14"/>
  <c r="B276" i="4" s="1"/>
  <c r="A750" i="14"/>
  <c r="AV72" i="13" s="1"/>
  <c r="A636" i="14"/>
  <c r="B223" i="4" s="1"/>
  <c r="A695" i="14"/>
  <c r="B280" i="4" s="1"/>
  <c r="A542" i="14"/>
  <c r="Q128" i="4" s="1"/>
  <c r="A627" i="14"/>
  <c r="B214" i="4" s="1"/>
  <c r="A744" i="14"/>
  <c r="AV8" i="13" s="1"/>
  <c r="A478" i="14"/>
  <c r="B72" i="4" s="1"/>
  <c r="A490" i="14"/>
  <c r="B81" i="4" s="1"/>
  <c r="A501" i="14"/>
  <c r="B93" i="4" s="1"/>
  <c r="A512" i="14"/>
  <c r="B105" i="4" s="1"/>
  <c r="A524" i="14"/>
  <c r="Q93" i="4" s="1"/>
  <c r="A535" i="14"/>
  <c r="B125" i="4" s="1"/>
  <c r="A547" i="14"/>
  <c r="B136" i="4" s="1"/>
  <c r="A559" i="14"/>
  <c r="B149" i="4" s="1"/>
  <c r="A571" i="14"/>
  <c r="B160" i="4" s="1"/>
  <c r="A583" i="14"/>
  <c r="Q167" i="4" s="1"/>
  <c r="A596" i="14"/>
  <c r="B185" i="4" s="1"/>
  <c r="A608" i="14"/>
  <c r="B197" i="4" s="1"/>
  <c r="A620" i="14"/>
  <c r="B207" i="4" s="1"/>
  <c r="A632" i="14"/>
  <c r="B219" i="4" s="1"/>
  <c r="A644" i="14"/>
  <c r="B232" i="4" s="1"/>
  <c r="A656" i="14"/>
  <c r="Q239" i="4" s="1"/>
  <c r="A668" i="14"/>
  <c r="B253" i="4" s="1"/>
  <c r="B188" i="2" s="1"/>
  <c r="A678" i="14"/>
  <c r="B263" i="4" s="1"/>
  <c r="A690" i="14"/>
  <c r="B275" i="4" s="1"/>
  <c r="A702" i="14"/>
  <c r="B287" i="4" s="1"/>
  <c r="A714" i="14"/>
  <c r="B300" i="4" s="1"/>
  <c r="A737" i="14"/>
  <c r="B326" i="4" s="1"/>
  <c r="A727" i="14"/>
  <c r="B314" i="4" s="1"/>
  <c r="A729" i="14"/>
  <c r="B317" i="4" s="1"/>
  <c r="A529" i="14"/>
  <c r="B118" i="4" s="1"/>
  <c r="A683" i="14"/>
  <c r="B268" i="4" s="1"/>
  <c r="A519" i="14"/>
  <c r="B112" i="4" s="1"/>
  <c r="A615" i="14"/>
  <c r="B202" i="4" s="1"/>
  <c r="A721" i="14"/>
  <c r="B307" i="4" s="1"/>
  <c r="A479" i="14"/>
  <c r="B73" i="4" s="1"/>
  <c r="A491" i="14"/>
  <c r="B82" i="4" s="1"/>
  <c r="A502" i="14"/>
  <c r="B94" i="4" s="1"/>
  <c r="A513" i="14"/>
  <c r="B106" i="4" s="1"/>
  <c r="A525" i="14"/>
  <c r="Q96" i="4" s="1"/>
  <c r="A536" i="14"/>
  <c r="B126" i="4" s="1"/>
  <c r="A548" i="14"/>
  <c r="B137" i="4" s="1"/>
  <c r="A560" i="14"/>
  <c r="B150" i="4" s="1"/>
  <c r="A572" i="14"/>
  <c r="B161" i="4" s="1"/>
  <c r="A584" i="14"/>
  <c r="B172" i="4" s="1"/>
  <c r="A597" i="14"/>
  <c r="B186" i="4" s="1"/>
  <c r="A609" i="14"/>
  <c r="B198" i="4" s="1"/>
  <c r="A621" i="14"/>
  <c r="B208" i="4" s="1"/>
  <c r="A633" i="14"/>
  <c r="B220" i="4" s="1"/>
  <c r="A645" i="14"/>
  <c r="B233" i="4" s="1"/>
  <c r="A657" i="14"/>
  <c r="B243" i="4" s="1"/>
  <c r="A715" i="14"/>
  <c r="B301" i="4" s="1"/>
  <c r="A612" i="14"/>
  <c r="Q192" i="4" s="1"/>
  <c r="A694" i="14"/>
  <c r="B279" i="4" s="1"/>
  <c r="A552" i="14"/>
  <c r="B141" i="4" s="1"/>
  <c r="A707" i="14"/>
  <c r="B293" i="4" s="1"/>
  <c r="A507" i="14"/>
  <c r="B100" i="4" s="1"/>
  <c r="A673" i="14"/>
  <c r="Q253" i="4" s="1"/>
  <c r="A480" i="14"/>
  <c r="B74" i="4" s="1"/>
  <c r="A492" i="14"/>
  <c r="B83" i="4" s="1"/>
  <c r="A503" i="14"/>
  <c r="B95" i="4" s="1"/>
  <c r="A514" i="14"/>
  <c r="B107" i="4" s="1"/>
  <c r="A526" i="14"/>
  <c r="Q98" i="4" s="1"/>
  <c r="A537" i="14"/>
  <c r="B127" i="4" s="1"/>
  <c r="A549" i="14"/>
  <c r="B138" i="4" s="1"/>
  <c r="A561" i="14"/>
  <c r="B151" i="4" s="1"/>
  <c r="A573" i="14"/>
  <c r="B162" i="4" s="1"/>
  <c r="A585" i="14"/>
  <c r="B173" i="4" s="1"/>
  <c r="A598" i="14"/>
  <c r="B187" i="4" s="1"/>
  <c r="A610" i="14"/>
  <c r="Q187" i="4" s="1"/>
  <c r="A622" i="14"/>
  <c r="B209" i="4" s="1"/>
  <c r="A634" i="14"/>
  <c r="B221" i="4" s="1"/>
  <c r="A646" i="14"/>
  <c r="A658" i="14"/>
  <c r="B244" i="4" s="1"/>
  <c r="A669" i="14"/>
  <c r="B255" i="4" s="1"/>
  <c r="B189" i="2" s="1"/>
  <c r="A680" i="14"/>
  <c r="B265" i="4" s="1"/>
  <c r="A692" i="14"/>
  <c r="B277" i="4" s="1"/>
  <c r="A704" i="14"/>
  <c r="B290" i="4" s="1"/>
  <c r="A716" i="14"/>
  <c r="B302" i="4" s="1"/>
  <c r="A728" i="14"/>
  <c r="B316" i="4" s="1"/>
  <c r="A739" i="14"/>
  <c r="B328" i="4" s="1"/>
  <c r="A751" i="14"/>
  <c r="AV73" i="13" s="1"/>
  <c r="A693" i="14"/>
  <c r="B278" i="4" s="1"/>
  <c r="A740" i="14"/>
  <c r="B329" i="4" s="1"/>
  <c r="A648" i="14"/>
  <c r="B236" i="4" s="1"/>
  <c r="A706" i="14"/>
  <c r="B292" i="4" s="1"/>
  <c r="A517" i="14"/>
  <c r="B110" i="4" s="1"/>
  <c r="A613" i="14"/>
  <c r="B200" i="4" s="1"/>
  <c r="A742" i="14"/>
  <c r="B331" i="4" s="1"/>
  <c r="A485" i="14"/>
  <c r="Q71" i="4" s="1"/>
  <c r="A639" i="14"/>
  <c r="B226" i="4" s="1"/>
  <c r="A481" i="14"/>
  <c r="B75" i="4" s="1"/>
  <c r="A493" i="14"/>
  <c r="B84" i="4" s="1"/>
  <c r="A504" i="14"/>
  <c r="B96" i="4" s="1"/>
  <c r="A515" i="14"/>
  <c r="B108" i="4" s="1"/>
  <c r="A527" i="14"/>
  <c r="Q107" i="4" s="1"/>
  <c r="A538" i="14"/>
  <c r="B128" i="4" s="1"/>
  <c r="A550" i="14"/>
  <c r="B139" i="4" s="1"/>
  <c r="A562" i="14"/>
  <c r="B152" i="4" s="1"/>
  <c r="A574" i="14"/>
  <c r="B163" i="4" s="1"/>
  <c r="A586" i="14"/>
  <c r="B174" i="4" s="1"/>
  <c r="A599" i="14"/>
  <c r="B188" i="4" s="1"/>
  <c r="A611" i="14"/>
  <c r="Q190" i="4" s="1"/>
  <c r="A623" i="14"/>
  <c r="B210" i="4" s="1"/>
  <c r="A635" i="14"/>
  <c r="B222" i="4" s="1"/>
  <c r="A647" i="14"/>
  <c r="B235" i="4" s="1"/>
  <c r="A659" i="14"/>
  <c r="B245" i="4" s="1"/>
  <c r="A670" i="14"/>
  <c r="B256" i="4" s="1"/>
  <c r="B190" i="2" s="1"/>
  <c r="A681" i="14"/>
  <c r="B266" i="4" s="1"/>
  <c r="A705" i="14"/>
  <c r="B291" i="4" s="1"/>
  <c r="A600" i="14"/>
  <c r="B189" i="4" s="1"/>
  <c r="A660" i="14"/>
  <c r="B246" i="4" s="1"/>
  <c r="A741" i="14"/>
  <c r="B330" i="4" s="1"/>
  <c r="A540" i="14"/>
  <c r="B130" i="4" s="1"/>
  <c r="A588" i="14"/>
  <c r="B176" i="4" s="1"/>
  <c r="A649" i="14"/>
  <c r="B237" i="4" s="1"/>
  <c r="A708" i="14"/>
  <c r="B294" i="4" s="1"/>
  <c r="A531" i="14"/>
  <c r="B120" i="4" s="1"/>
  <c r="A590" i="14"/>
  <c r="B178" i="4" s="1"/>
  <c r="A697" i="14"/>
  <c r="B282" i="4" s="1"/>
  <c r="A482" i="14"/>
  <c r="B76" i="4" s="1"/>
  <c r="A494" i="14"/>
  <c r="B85" i="4" s="1"/>
  <c r="A516" i="14"/>
  <c r="B109" i="4" s="1"/>
  <c r="A528" i="14"/>
  <c r="B117" i="4" s="1"/>
  <c r="A539" i="14"/>
  <c r="B129" i="4" s="1"/>
  <c r="A563" i="14"/>
  <c r="B153" i="4" s="1"/>
  <c r="A624" i="14"/>
  <c r="B211" i="4" s="1"/>
  <c r="A505" i="14"/>
  <c r="B98" i="4" s="1"/>
  <c r="A625" i="14"/>
  <c r="B212" i="4" s="1"/>
  <c r="A731" i="14"/>
  <c r="B319" i="4" s="1"/>
  <c r="A732" i="14"/>
  <c r="B320" i="4" s="1"/>
  <c r="A484" i="14"/>
  <c r="Q70" i="4" s="1"/>
  <c r="A495" i="14"/>
  <c r="B87" i="4" s="1"/>
  <c r="A506" i="14"/>
  <c r="B99" i="4" s="1"/>
  <c r="A518" i="14"/>
  <c r="B111" i="4" s="1"/>
  <c r="A530" i="14"/>
  <c r="B119" i="4" s="1"/>
  <c r="A541" i="14"/>
  <c r="B131" i="4" s="1"/>
  <c r="A553" i="14"/>
  <c r="B142" i="4" s="1"/>
  <c r="A565" i="14"/>
  <c r="B155" i="4" s="1"/>
  <c r="A577" i="14"/>
  <c r="B166" i="4" s="1"/>
  <c r="A589" i="14"/>
  <c r="B177" i="4" s="1"/>
  <c r="A602" i="14"/>
  <c r="B191" i="4" s="1"/>
  <c r="A614" i="14"/>
  <c r="B201" i="4" s="1"/>
  <c r="A626" i="14"/>
  <c r="B213" i="4" s="1"/>
  <c r="A638" i="14"/>
  <c r="Q213" i="4" s="1"/>
  <c r="A650" i="14"/>
  <c r="B238" i="4" s="1"/>
  <c r="A662" i="14"/>
  <c r="B248" i="4" s="1"/>
  <c r="A672" i="14"/>
  <c r="B259" i="4" s="1"/>
  <c r="B192" i="2" s="1"/>
  <c r="A684" i="14"/>
  <c r="B269" i="4" s="1"/>
  <c r="A720" i="14"/>
  <c r="B306" i="4" s="1"/>
  <c r="A578" i="14"/>
  <c r="B167" i="4" s="1"/>
  <c r="A663" i="14"/>
  <c r="B249" i="4" s="1"/>
  <c r="A733" i="14"/>
  <c r="B321" i="4" s="1"/>
  <c r="A358" i="14"/>
  <c r="B153" i="2" s="1"/>
  <c r="A359" i="14"/>
  <c r="B155" i="2" s="1"/>
  <c r="A360" i="14"/>
  <c r="B156" i="2" s="1"/>
  <c r="A361" i="14"/>
  <c r="B157" i="2" s="1"/>
  <c r="A352" i="14"/>
  <c r="A357" i="14"/>
  <c r="B152" i="2" s="1"/>
  <c r="A350" i="14"/>
  <c r="A351" i="14"/>
  <c r="A354" i="14"/>
  <c r="B149" i="2" s="1"/>
  <c r="A355" i="14"/>
  <c r="B150" i="2" s="1"/>
  <c r="A356" i="14"/>
  <c r="B151" i="2" s="1"/>
  <c r="A353" i="14"/>
  <c r="B148" i="2" s="1"/>
  <c r="A271" i="14"/>
  <c r="B98" i="2" s="1"/>
  <c r="A292" i="14"/>
  <c r="B109" i="2" s="1"/>
  <c r="A304" i="14"/>
  <c r="D114" i="2" s="1"/>
  <c r="A316" i="14"/>
  <c r="D119" i="2" s="1"/>
  <c r="A326" i="14"/>
  <c r="B132" i="2" s="1"/>
  <c r="A338" i="14"/>
  <c r="D134" i="2" s="1"/>
  <c r="A363" i="14"/>
  <c r="B159" i="2" s="1"/>
  <c r="A374" i="14"/>
  <c r="B171" i="2" s="1"/>
  <c r="A383" i="14"/>
  <c r="D174" i="2" s="1"/>
  <c r="A394" i="14"/>
  <c r="D179" i="2" s="1"/>
  <c r="A408" i="14"/>
  <c r="A418" i="14"/>
  <c r="A430" i="14"/>
  <c r="B21" i="4" s="1"/>
  <c r="A442" i="14"/>
  <c r="B33" i="4" s="1"/>
  <c r="A454" i="14"/>
  <c r="B45" i="4" s="1"/>
  <c r="A466" i="14"/>
  <c r="B57" i="4" s="1"/>
  <c r="A436" i="14"/>
  <c r="B27" i="4" s="1"/>
  <c r="A345" i="14"/>
  <c r="B142" i="2" s="1"/>
  <c r="A404" i="14"/>
  <c r="B6" i="4" s="1"/>
  <c r="A464" i="14"/>
  <c r="B55" i="4" s="1"/>
  <c r="A291" i="14"/>
  <c r="B108" i="2" s="1"/>
  <c r="A362" i="14"/>
  <c r="B158" i="2" s="1"/>
  <c r="A465" i="14"/>
  <c r="B56" i="4" s="1"/>
  <c r="A272" i="14"/>
  <c r="B99" i="2" s="1"/>
  <c r="A293" i="14"/>
  <c r="B110" i="2" s="1"/>
  <c r="A305" i="14"/>
  <c r="D115" i="2" s="1"/>
  <c r="A317" i="14"/>
  <c r="D121" i="2" s="1"/>
  <c r="A327" i="14"/>
  <c r="B133" i="2" s="1"/>
  <c r="A339" i="14"/>
  <c r="D135" i="2" s="1"/>
  <c r="A364" i="14"/>
  <c r="B160" i="2" s="1"/>
  <c r="A375" i="14"/>
  <c r="B172" i="2" s="1"/>
  <c r="A384" i="14"/>
  <c r="B176" i="2" s="1"/>
  <c r="A409" i="14"/>
  <c r="M7" i="4" s="1"/>
  <c r="A419" i="14"/>
  <c r="A431" i="14"/>
  <c r="B22" i="4" s="1"/>
  <c r="A443" i="14"/>
  <c r="B34" i="4" s="1"/>
  <c r="A455" i="14"/>
  <c r="B46" i="4" s="1"/>
  <c r="A467" i="14"/>
  <c r="B58" i="4" s="1"/>
  <c r="A424" i="14"/>
  <c r="B15" i="4" s="1"/>
  <c r="A369" i="14"/>
  <c r="B166" i="2" s="1"/>
  <c r="A473" i="14"/>
  <c r="B64" i="4" s="1"/>
  <c r="A415" i="14"/>
  <c r="A268" i="14"/>
  <c r="B94" i="2" s="1"/>
  <c r="A302" i="14"/>
  <c r="B115" i="2" s="1"/>
  <c r="A382" i="14"/>
  <c r="D172" i="2" s="1"/>
  <c r="A441" i="14"/>
  <c r="B32" i="4" s="1"/>
  <c r="A273" i="14"/>
  <c r="B100" i="2" s="1"/>
  <c r="A294" i="14"/>
  <c r="D106" i="2" s="1"/>
  <c r="A306" i="14"/>
  <c r="B117" i="2" s="1"/>
  <c r="A328" i="14"/>
  <c r="B134" i="2" s="1"/>
  <c r="A340" i="14"/>
  <c r="D136" i="2" s="1"/>
  <c r="A365" i="14"/>
  <c r="B161" i="2" s="1"/>
  <c r="A376" i="14"/>
  <c r="B173" i="2" s="1"/>
  <c r="A385" i="14"/>
  <c r="B177" i="2" s="1"/>
  <c r="A395" i="14"/>
  <c r="D181" i="2" s="1"/>
  <c r="A420" i="14"/>
  <c r="A432" i="14"/>
  <c r="B23" i="4" s="1"/>
  <c r="A444" i="14"/>
  <c r="B35" i="4" s="1"/>
  <c r="A456" i="14"/>
  <c r="B47" i="4" s="1"/>
  <c r="A468" i="14"/>
  <c r="B59" i="4" s="1"/>
  <c r="A471" i="14"/>
  <c r="B62" i="4" s="1"/>
  <c r="A462" i="14"/>
  <c r="B53" i="4" s="1"/>
  <c r="A313" i="14"/>
  <c r="B124" i="2" s="1"/>
  <c r="A371" i="14"/>
  <c r="B168" i="2" s="1"/>
  <c r="A451" i="14"/>
  <c r="B42" i="4" s="1"/>
  <c r="A324" i="14"/>
  <c r="B130" i="2" s="1"/>
  <c r="A406" i="14"/>
  <c r="A373" i="14"/>
  <c r="B170" i="2" s="1"/>
  <c r="A262" i="14"/>
  <c r="B88" i="2" s="1"/>
  <c r="A274" i="14"/>
  <c r="B101" i="2" s="1"/>
  <c r="A295" i="14"/>
  <c r="D107" i="2" s="1"/>
  <c r="A307" i="14"/>
  <c r="B118" i="2" s="1"/>
  <c r="A318" i="14"/>
  <c r="D122" i="2" s="1"/>
  <c r="A329" i="14"/>
  <c r="B135" i="2" s="1"/>
  <c r="A341" i="14"/>
  <c r="D137" i="2" s="1"/>
  <c r="A366" i="14"/>
  <c r="B162" i="2" s="1"/>
  <c r="A377" i="14"/>
  <c r="B174" i="2" s="1"/>
  <c r="A386" i="14"/>
  <c r="B178" i="2" s="1"/>
  <c r="A396" i="14"/>
  <c r="D182" i="2" s="1"/>
  <c r="A410" i="14"/>
  <c r="C5" i="4" s="1"/>
  <c r="A421" i="14"/>
  <c r="B9" i="4" s="1"/>
  <c r="A433" i="14"/>
  <c r="B24" i="4" s="1"/>
  <c r="A445" i="14"/>
  <c r="B36" i="4" s="1"/>
  <c r="A457" i="14"/>
  <c r="B48" i="4" s="1"/>
  <c r="A469" i="14"/>
  <c r="B60" i="4" s="1"/>
  <c r="A447" i="14"/>
  <c r="B38" i="4" s="1"/>
  <c r="A460" i="14"/>
  <c r="B51" i="4" s="1"/>
  <c r="A390" i="14"/>
  <c r="B182" i="2" s="1"/>
  <c r="A449" i="14"/>
  <c r="B40" i="4" s="1"/>
  <c r="A391" i="14"/>
  <c r="B183" i="2" s="1"/>
  <c r="A282" i="14"/>
  <c r="D88" i="2" s="1"/>
  <c r="A439" i="14"/>
  <c r="B30" i="4" s="1"/>
  <c r="A283" i="14"/>
  <c r="D92" i="2" s="1"/>
  <c r="A348" i="14"/>
  <c r="B145" i="2" s="1"/>
  <c r="A452" i="14"/>
  <c r="B43" i="4" s="1"/>
  <c r="A325" i="14"/>
  <c r="B131" i="2" s="1"/>
  <c r="A393" i="14"/>
  <c r="D178" i="2" s="1"/>
  <c r="A263" i="14"/>
  <c r="B89" i="2" s="1"/>
  <c r="A275" i="14"/>
  <c r="B102" i="2" s="1"/>
  <c r="A284" i="14"/>
  <c r="D98" i="2" s="1"/>
  <c r="A296" i="14"/>
  <c r="D108" i="2" s="1"/>
  <c r="A308" i="14"/>
  <c r="B119" i="2" s="1"/>
  <c r="A330" i="14"/>
  <c r="B136" i="2" s="1"/>
  <c r="A342" i="14"/>
  <c r="D138" i="2" s="1"/>
  <c r="A367" i="14"/>
  <c r="B163" i="2" s="1"/>
  <c r="A378" i="14"/>
  <c r="D153" i="2" s="1"/>
  <c r="A387" i="14"/>
  <c r="B179" i="2" s="1"/>
  <c r="A411" i="14"/>
  <c r="D5" i="4" s="1"/>
  <c r="A422" i="14"/>
  <c r="B12" i="4" s="1"/>
  <c r="A434" i="14"/>
  <c r="B25" i="4" s="1"/>
  <c r="A446" i="14"/>
  <c r="B37" i="4" s="1"/>
  <c r="A458" i="14"/>
  <c r="B49" i="4" s="1"/>
  <c r="A470" i="14"/>
  <c r="B61" i="4" s="1"/>
  <c r="A435" i="14"/>
  <c r="B26" i="4" s="1"/>
  <c r="A472" i="14"/>
  <c r="B63" i="4" s="1"/>
  <c r="A381" i="14"/>
  <c r="D169" i="2" s="1"/>
  <c r="A437" i="14"/>
  <c r="B28" i="4" s="1"/>
  <c r="A450" i="14"/>
  <c r="B41" i="4" s="1"/>
  <c r="A323" i="14"/>
  <c r="B129" i="2" s="1"/>
  <c r="A392" i="14"/>
  <c r="B184" i="2" s="1"/>
  <c r="A269" i="14"/>
  <c r="B95" i="2" s="1"/>
  <c r="A372" i="14"/>
  <c r="B169" i="2" s="1"/>
  <c r="A303" i="14"/>
  <c r="D113" i="2" s="1"/>
  <c r="A264" i="14"/>
  <c r="B90" i="2" s="1"/>
  <c r="A276" i="14"/>
  <c r="B103" i="2" s="1"/>
  <c r="A285" i="14"/>
  <c r="D99" i="2" s="1"/>
  <c r="A297" i="14"/>
  <c r="D109" i="2" s="1"/>
  <c r="A309" i="14"/>
  <c r="B120" i="2" s="1"/>
  <c r="A331" i="14"/>
  <c r="B137" i="2" s="1"/>
  <c r="A343" i="14"/>
  <c r="D139" i="2" s="1"/>
  <c r="A368" i="14"/>
  <c r="B164" i="2" s="1"/>
  <c r="A379" i="14"/>
  <c r="D167" i="2" s="1"/>
  <c r="A388" i="14"/>
  <c r="B180" i="2" s="1"/>
  <c r="A397" i="14"/>
  <c r="D184" i="2" s="1"/>
  <c r="A412" i="14"/>
  <c r="E5" i="4" s="1"/>
  <c r="A423" i="14"/>
  <c r="B14" i="4" s="1"/>
  <c r="A459" i="14"/>
  <c r="B50" i="4" s="1"/>
  <c r="A403" i="14"/>
  <c r="B2" i="4" s="1"/>
  <c r="A461" i="14"/>
  <c r="B52" i="4" s="1"/>
  <c r="A370" i="14"/>
  <c r="B167" i="2" s="1"/>
  <c r="A301" i="14"/>
  <c r="B114" i="2" s="1"/>
  <c r="A416" i="14"/>
  <c r="A314" i="14"/>
  <c r="B125" i="2" s="1"/>
  <c r="A270" i="14"/>
  <c r="B96" i="2" s="1"/>
  <c r="A453" i="14"/>
  <c r="B44" i="4" s="1"/>
  <c r="A265" i="14"/>
  <c r="B91" i="2" s="1"/>
  <c r="A279" i="14"/>
  <c r="D85" i="2" s="1"/>
  <c r="A286" i="14"/>
  <c r="D100" i="2" s="1"/>
  <c r="A298" i="14"/>
  <c r="D110" i="2" s="1"/>
  <c r="A310" i="14"/>
  <c r="B121" i="2" s="1"/>
  <c r="A320" i="14"/>
  <c r="A332" i="14"/>
  <c r="B138" i="2" s="1"/>
  <c r="A344" i="14"/>
  <c r="B141" i="2" s="1"/>
  <c r="A380" i="14"/>
  <c r="D168" i="2" s="1"/>
  <c r="A389" i="14"/>
  <c r="B181" i="2" s="1"/>
  <c r="A402" i="14"/>
  <c r="B4" i="4" s="1"/>
  <c r="A413" i="14"/>
  <c r="F5" i="4" s="1"/>
  <c r="A448" i="14"/>
  <c r="B39" i="4" s="1"/>
  <c r="A425" i="14"/>
  <c r="B16" i="4" s="1"/>
  <c r="A346" i="14"/>
  <c r="B143" i="2" s="1"/>
  <c r="A335" i="14"/>
  <c r="D130" i="2" s="1"/>
  <c r="A463" i="14"/>
  <c r="B54" i="4" s="1"/>
  <c r="A290" i="14"/>
  <c r="B107" i="2" s="1"/>
  <c r="A440" i="14"/>
  <c r="B31" i="4" s="1"/>
  <c r="A349" i="14"/>
  <c r="B146" i="2" s="1"/>
  <c r="A429" i="14"/>
  <c r="B20" i="4" s="1"/>
  <c r="A266" i="14"/>
  <c r="B92" i="2" s="1"/>
  <c r="A280" i="14"/>
  <c r="D86" i="2" s="1"/>
  <c r="A287" i="14"/>
  <c r="A299" i="14"/>
  <c r="B112" i="2" s="1"/>
  <c r="A311" i="14"/>
  <c r="B122" i="2" s="1"/>
  <c r="A321" i="14"/>
  <c r="B127" i="2" s="1"/>
  <c r="A333" i="14"/>
  <c r="B139" i="2" s="1"/>
  <c r="A414" i="14"/>
  <c r="A438" i="14"/>
  <c r="B29" i="4" s="1"/>
  <c r="A289" i="14"/>
  <c r="B106" i="2" s="1"/>
  <c r="A427" i="14"/>
  <c r="B18" i="4" s="1"/>
  <c r="A336" i="14"/>
  <c r="D132" i="2" s="1"/>
  <c r="A417" i="14"/>
  <c r="M5" i="4" s="1"/>
  <c r="A337" i="14"/>
  <c r="D133" i="2" s="1"/>
  <c r="A267" i="14"/>
  <c r="B93" i="2" s="1"/>
  <c r="A281" i="14"/>
  <c r="D87" i="2" s="1"/>
  <c r="A288" i="14"/>
  <c r="B105" i="2" s="1"/>
  <c r="A300" i="14"/>
  <c r="B113" i="2" s="1"/>
  <c r="A312" i="14"/>
  <c r="B123" i="2" s="1"/>
  <c r="A322" i="14"/>
  <c r="B128" i="2" s="1"/>
  <c r="A334" i="14"/>
  <c r="D129" i="2" s="1"/>
  <c r="A426" i="14"/>
  <c r="B17" i="4" s="1"/>
  <c r="A347" i="14"/>
  <c r="B144" i="2" s="1"/>
  <c r="A405" i="14"/>
  <c r="B7" i="4" s="1"/>
  <c r="A428" i="14"/>
  <c r="B19" i="4" s="1"/>
  <c r="A315" i="14"/>
  <c r="A407" i="14"/>
  <c r="A240" i="14"/>
  <c r="B74" i="2" s="1"/>
  <c r="A251" i="14"/>
  <c r="D77" i="2" s="1"/>
  <c r="A239" i="14"/>
  <c r="B73" i="2" s="1"/>
  <c r="A238" i="14"/>
  <c r="A242" i="14"/>
  <c r="B76" i="2" s="1"/>
  <c r="A250" i="14"/>
  <c r="D76" i="2" s="1"/>
  <c r="A261" i="14"/>
  <c r="B87" i="2" s="1"/>
  <c r="A249" i="14"/>
  <c r="D75" i="2" s="1"/>
  <c r="A237" i="14"/>
  <c r="A253" i="14"/>
  <c r="D79" i="2" s="1"/>
  <c r="A260" i="14"/>
  <c r="B86" i="2" s="1"/>
  <c r="A248" i="14"/>
  <c r="B82" i="2" s="1"/>
  <c r="A236" i="14"/>
  <c r="A254" i="14"/>
  <c r="D80" i="2" s="1"/>
  <c r="A259" i="14"/>
  <c r="B85" i="2" s="1"/>
  <c r="A247" i="14"/>
  <c r="B81" i="2" s="1"/>
  <c r="A235" i="14"/>
  <c r="A241" i="14"/>
  <c r="B75" i="2" s="1"/>
  <c r="A258" i="14"/>
  <c r="D84" i="2" s="1"/>
  <c r="A246" i="14"/>
  <c r="B80" i="2" s="1"/>
  <c r="A234" i="14"/>
  <c r="A257" i="14"/>
  <c r="B84" i="2" s="1"/>
  <c r="A245" i="14"/>
  <c r="B79" i="2" s="1"/>
  <c r="A233" i="14"/>
  <c r="A252" i="14"/>
  <c r="D78" i="2" s="1"/>
  <c r="A256" i="14"/>
  <c r="D82" i="2" s="1"/>
  <c r="A244" i="14"/>
  <c r="B78" i="2" s="1"/>
  <c r="A232" i="14"/>
  <c r="A255" i="14"/>
  <c r="D81" i="2" s="1"/>
  <c r="A243" i="14"/>
  <c r="B77" i="2" s="1"/>
  <c r="A178" i="14"/>
  <c r="D35" i="2" s="1"/>
  <c r="A190" i="14"/>
  <c r="B48" i="2" s="1"/>
  <c r="A186" i="14"/>
  <c r="B44" i="2" s="1"/>
  <c r="A213" i="14"/>
  <c r="B62" i="2" s="1"/>
  <c r="A200" i="14"/>
  <c r="D47" i="2" s="1"/>
  <c r="A208" i="14"/>
  <c r="B57" i="2" s="1"/>
  <c r="A197" i="14"/>
  <c r="D43" i="2" s="1"/>
  <c r="A185" i="14"/>
  <c r="B43" i="2" s="1"/>
  <c r="A201" i="14"/>
  <c r="D49" i="2" s="1"/>
  <c r="A212" i="14"/>
  <c r="B61" i="2" s="1"/>
  <c r="A199" i="14"/>
  <c r="A184" i="14"/>
  <c r="B42" i="2" s="1"/>
  <c r="A209" i="14"/>
  <c r="B58" i="2" s="1"/>
  <c r="A196" i="14"/>
  <c r="D42" i="2" s="1"/>
  <c r="A231" i="14"/>
  <c r="D71" i="2" s="1"/>
  <c r="A218" i="14"/>
  <c r="B67" i="2" s="1"/>
  <c r="A206" i="14"/>
  <c r="B55" i="2" s="1"/>
  <c r="A195" i="14"/>
  <c r="D41" i="2" s="1"/>
  <c r="A183" i="14"/>
  <c r="B41" i="2" s="1"/>
  <c r="A189" i="14"/>
  <c r="B47" i="2" s="1"/>
  <c r="A223" i="14"/>
  <c r="D52" i="2" s="1"/>
  <c r="A187" i="14"/>
  <c r="B45" i="2" s="1"/>
  <c r="A221" i="14"/>
  <c r="B70" i="2" s="1"/>
  <c r="A207" i="14"/>
  <c r="B56" i="2" s="1"/>
  <c r="A225" i="14"/>
  <c r="D58" i="2" s="1"/>
  <c r="A217" i="14"/>
  <c r="B66" i="2" s="1"/>
  <c r="A205" i="14"/>
  <c r="B54" i="2" s="1"/>
  <c r="A194" i="14"/>
  <c r="D40" i="2" s="1"/>
  <c r="A182" i="14"/>
  <c r="B40" i="2" s="1"/>
  <c r="A227" i="14"/>
  <c r="D65" i="2" s="1"/>
  <c r="A188" i="14"/>
  <c r="B46" i="2" s="1"/>
  <c r="A210" i="14"/>
  <c r="B59" i="2" s="1"/>
  <c r="A220" i="14"/>
  <c r="B69" i="2" s="1"/>
  <c r="A219" i="14"/>
  <c r="B68" i="2" s="1"/>
  <c r="A230" i="14"/>
  <c r="D69" i="2" s="1"/>
  <c r="A224" i="14"/>
  <c r="D57" i="2" s="1"/>
  <c r="A216" i="14"/>
  <c r="B65" i="2" s="1"/>
  <c r="A204" i="14"/>
  <c r="B53" i="2" s="1"/>
  <c r="A193" i="14"/>
  <c r="D39" i="2" s="1"/>
  <c r="A181" i="14"/>
  <c r="B39" i="2" s="1"/>
  <c r="A177" i="14"/>
  <c r="D34" i="2" s="1"/>
  <c r="A211" i="14"/>
  <c r="B60" i="2" s="1"/>
  <c r="A222" i="14"/>
  <c r="B71" i="2" s="1"/>
  <c r="A198" i="14"/>
  <c r="D44" i="2" s="1"/>
  <c r="A226" i="14"/>
  <c r="D60" i="2" s="1"/>
  <c r="A229" i="14"/>
  <c r="D68" i="2" s="1"/>
  <c r="A215" i="14"/>
  <c r="B64" i="2" s="1"/>
  <c r="A203" i="14"/>
  <c r="B52" i="2" s="1"/>
  <c r="A192" i="14"/>
  <c r="D38" i="2" s="1"/>
  <c r="A180" i="14"/>
  <c r="B38" i="2" s="1"/>
  <c r="A228" i="14"/>
  <c r="D67" i="2" s="1"/>
  <c r="A214" i="14"/>
  <c r="B63" i="2" s="1"/>
  <c r="A202" i="14"/>
  <c r="B51" i="2" s="1"/>
  <c r="A191" i="14"/>
  <c r="B49" i="2" s="1"/>
  <c r="A179" i="14"/>
  <c r="B37" i="2" s="1"/>
  <c r="A107" i="14"/>
  <c r="B32" i="18" s="1"/>
  <c r="A161" i="14"/>
  <c r="B26" i="2" s="1"/>
  <c r="A171" i="14"/>
  <c r="D26" i="2" s="1"/>
  <c r="A103" i="14"/>
  <c r="B28" i="18" s="1"/>
  <c r="A120" i="14"/>
  <c r="S23" i="13" s="1"/>
  <c r="A151" i="14"/>
  <c r="B18" i="2" s="1"/>
  <c r="A118" i="14"/>
  <c r="S21" i="13" s="1"/>
  <c r="A116" i="14"/>
  <c r="S19" i="13" s="1"/>
  <c r="F10" i="17" s="1"/>
  <c r="A170" i="14"/>
  <c r="B35" i="2" s="1"/>
  <c r="A146" i="14"/>
  <c r="D15" i="2" s="1"/>
  <c r="A128" i="14"/>
  <c r="A114" i="14"/>
  <c r="B39" i="18" s="1"/>
  <c r="A102" i="14"/>
  <c r="B27" i="18" s="1"/>
  <c r="A152" i="14"/>
  <c r="D18" i="2" s="1"/>
  <c r="A163" i="14"/>
  <c r="B28" i="2" s="1"/>
  <c r="A106" i="14"/>
  <c r="B31" i="18" s="1"/>
  <c r="A104" i="14"/>
  <c r="B29" i="18" s="1"/>
  <c r="A158" i="14"/>
  <c r="B24" i="2" s="1"/>
  <c r="A169" i="14"/>
  <c r="B34" i="2" s="1"/>
  <c r="A157" i="14"/>
  <c r="B23" i="2" s="1"/>
  <c r="A145" i="14"/>
  <c r="B15" i="2" s="1"/>
  <c r="A127" i="14"/>
  <c r="B35" i="13" s="1"/>
  <c r="A113" i="14"/>
  <c r="B38" i="18" s="1"/>
  <c r="A101" i="14"/>
  <c r="B25" i="18" s="1"/>
  <c r="A140" i="14"/>
  <c r="B11" i="2" s="1"/>
  <c r="A173" i="14"/>
  <c r="D29" i="2" s="1"/>
  <c r="A117" i="14"/>
  <c r="S20" i="13" s="1"/>
  <c r="A136" i="14"/>
  <c r="B7" i="2" s="1"/>
  <c r="A147" i="14"/>
  <c r="B16" i="2" s="1"/>
  <c r="A94" i="14"/>
  <c r="A168" i="14"/>
  <c r="B33" i="2" s="1"/>
  <c r="A156" i="14"/>
  <c r="B22" i="2" s="1"/>
  <c r="A144" i="14"/>
  <c r="A124" i="14"/>
  <c r="S27" i="13" s="1"/>
  <c r="A112" i="14"/>
  <c r="B37" i="18" s="1"/>
  <c r="A100" i="14"/>
  <c r="B24" i="18" s="1"/>
  <c r="A164" i="14"/>
  <c r="B29" i="2" s="1"/>
  <c r="A139" i="14"/>
  <c r="B10" i="2" s="1"/>
  <c r="A162" i="14"/>
  <c r="B27" i="2" s="1"/>
  <c r="A105" i="14"/>
  <c r="B30" i="18" s="1"/>
  <c r="A172" i="14"/>
  <c r="D27" i="2" s="1"/>
  <c r="A115" i="14"/>
  <c r="S7" i="13" s="1"/>
  <c r="E9" i="17" s="1"/>
  <c r="A93" i="14"/>
  <c r="A167" i="14"/>
  <c r="B32" i="2" s="1"/>
  <c r="A155" i="14"/>
  <c r="B21" i="2" s="1"/>
  <c r="A143" i="14"/>
  <c r="B14" i="2" s="1"/>
  <c r="A123" i="14"/>
  <c r="S26" i="13" s="1"/>
  <c r="A111" i="14"/>
  <c r="B36" i="18" s="1"/>
  <c r="A99" i="14"/>
  <c r="B23" i="18" s="1"/>
  <c r="A174" i="14"/>
  <c r="D31" i="2" s="1"/>
  <c r="A119" i="14"/>
  <c r="A150" i="14"/>
  <c r="D17" i="2" s="1"/>
  <c r="A149" i="14"/>
  <c r="B17" i="2" s="1"/>
  <c r="A160" i="14"/>
  <c r="D21" i="2" s="1"/>
  <c r="A159" i="14"/>
  <c r="B25" i="2" s="1"/>
  <c r="A176" i="14"/>
  <c r="D33" i="2" s="1"/>
  <c r="A166" i="14"/>
  <c r="B31" i="2" s="1"/>
  <c r="A154" i="14"/>
  <c r="D20" i="2" s="1"/>
  <c r="A142" i="14"/>
  <c r="B13" i="2" s="1"/>
  <c r="A122" i="14"/>
  <c r="S25" i="13" s="1"/>
  <c r="A110" i="14"/>
  <c r="B35" i="18" s="1"/>
  <c r="A98" i="14"/>
  <c r="B22" i="18" s="1"/>
  <c r="A108" i="14"/>
  <c r="B33" i="18" s="1"/>
  <c r="A138" i="14"/>
  <c r="B9" i="2" s="1"/>
  <c r="A137" i="14"/>
  <c r="D8" i="2" s="1"/>
  <c r="A148" i="14"/>
  <c r="D16" i="2" s="1"/>
  <c r="A135" i="14"/>
  <c r="A175" i="14"/>
  <c r="D32" i="2" s="1"/>
  <c r="A165" i="14"/>
  <c r="B30" i="2" s="1"/>
  <c r="A153" i="14"/>
  <c r="B20" i="2" s="1"/>
  <c r="A141" i="14"/>
  <c r="D11" i="2" s="1"/>
  <c r="A121" i="14"/>
  <c r="S24" i="13" s="1"/>
  <c r="F12" i="17" s="1"/>
  <c r="A109" i="14"/>
  <c r="B34" i="18" s="1"/>
  <c r="A85" i="14"/>
  <c r="A57" i="14"/>
  <c r="E11" i="12" s="1"/>
  <c r="A54" i="14"/>
  <c r="B11" i="12" s="1"/>
  <c r="A92" i="14"/>
  <c r="A53" i="14"/>
  <c r="B10" i="12" s="1"/>
  <c r="A91" i="14"/>
  <c r="A90" i="14"/>
  <c r="A78" i="14"/>
  <c r="A63" i="14"/>
  <c r="B74" i="12" s="1"/>
  <c r="A71" i="14"/>
  <c r="A84" i="14"/>
  <c r="A68" i="14"/>
  <c r="A67" i="14"/>
  <c r="B6" i="13" s="1"/>
  <c r="A66" i="14"/>
  <c r="F113" i="12" s="1"/>
  <c r="A65" i="14"/>
  <c r="B112" i="12" s="1"/>
  <c r="A64" i="14"/>
  <c r="B94" i="12" s="1"/>
  <c r="A89" i="14"/>
  <c r="A77" i="14"/>
  <c r="A62" i="14"/>
  <c r="B41" i="12" s="1"/>
  <c r="A58" i="14"/>
  <c r="F11" i="12" s="1"/>
  <c r="A83" i="14"/>
  <c r="A82" i="14"/>
  <c r="A55" i="14"/>
  <c r="C11" i="12" s="1"/>
  <c r="A81" i="14"/>
  <c r="A80" i="14"/>
  <c r="A79" i="14"/>
  <c r="A88" i="14"/>
  <c r="A76" i="14"/>
  <c r="A61" i="14"/>
  <c r="I11" i="12" s="1"/>
  <c r="A70" i="14"/>
  <c r="A56" i="14"/>
  <c r="D11" i="12" s="1"/>
  <c r="A87" i="14"/>
  <c r="A75" i="14"/>
  <c r="A60" i="14"/>
  <c r="H11" i="12" s="1"/>
  <c r="A86" i="14"/>
  <c r="A74" i="14"/>
  <c r="A59" i="14"/>
  <c r="G11" i="12" s="1"/>
  <c r="A23" i="14"/>
  <c r="J746" i="7" s="1"/>
  <c r="A35" i="14"/>
  <c r="A34" i="14"/>
  <c r="A45" i="14"/>
  <c r="A33" i="14"/>
  <c r="A46" i="14"/>
  <c r="A44" i="14"/>
  <c r="C901" i="7" s="1"/>
  <c r="A32" i="14"/>
  <c r="C134" i="7" s="1"/>
  <c r="A30" i="14"/>
  <c r="S15" i="13" s="1"/>
  <c r="T32" i="13" s="1"/>
  <c r="A42" i="14"/>
  <c r="B839" i="7" s="1"/>
  <c r="A29" i="14"/>
  <c r="S14" i="13" s="1"/>
  <c r="A41" i="14"/>
  <c r="B745" i="7" s="1"/>
  <c r="A40" i="14"/>
  <c r="A47" i="14"/>
  <c r="E901" i="7" s="1"/>
  <c r="A51" i="14"/>
  <c r="H2" i="12" s="1"/>
  <c r="A39" i="14"/>
  <c r="A27" i="14"/>
  <c r="A50" i="14"/>
  <c r="B2" i="12" s="1"/>
  <c r="A38" i="14"/>
  <c r="A37" i="14"/>
  <c r="A43" i="14"/>
  <c r="B901" i="7" s="1"/>
  <c r="A52" i="14"/>
  <c r="B9" i="12" s="1"/>
  <c r="A49" i="14"/>
  <c r="H967" i="7" s="1"/>
  <c r="A48" i="14"/>
  <c r="B903" i="7" s="1"/>
  <c r="A36" i="14"/>
  <c r="A19" i="14"/>
  <c r="A7" i="14"/>
  <c r="B9" i="1" s="1"/>
  <c r="A16" i="14"/>
  <c r="B7" i="7" s="1"/>
  <c r="A20" i="14"/>
  <c r="A28" i="14"/>
  <c r="A15" i="14"/>
  <c r="B2" i="7" s="1"/>
  <c r="A8" i="14"/>
  <c r="C11" i="1" s="1"/>
  <c r="A14" i="14"/>
  <c r="D17" i="1" s="1"/>
  <c r="A21" i="14"/>
  <c r="A17" i="14"/>
  <c r="B8" i="7" s="1"/>
  <c r="A26" i="14"/>
  <c r="S11" i="13" s="1"/>
  <c r="A12" i="14"/>
  <c r="D15" i="1" s="1"/>
  <c r="A18" i="14"/>
  <c r="A25" i="14"/>
  <c r="A11" i="14"/>
  <c r="D14" i="1" s="1"/>
  <c r="A2" i="14"/>
  <c r="B2" i="1" s="1"/>
  <c r="A24" i="14"/>
  <c r="S9" i="13" s="1"/>
  <c r="A10" i="14"/>
  <c r="D13" i="1" s="1"/>
  <c r="A22" i="14"/>
  <c r="C158" i="2"/>
  <c r="S13" i="13" l="1"/>
  <c r="C467" i="7"/>
  <c r="S12" i="13"/>
  <c r="C436" i="7"/>
  <c r="B46" i="13"/>
  <c r="B34" i="13"/>
  <c r="B2" i="13"/>
  <c r="B2" i="18"/>
  <c r="B4" i="2"/>
  <c r="B2" i="2"/>
  <c r="B11" i="13"/>
  <c r="B9" i="18"/>
  <c r="B8" i="13"/>
  <c r="B9" i="13"/>
  <c r="B10" i="18"/>
  <c r="F11" i="17" s="1"/>
  <c r="B15" i="13"/>
  <c r="B13" i="18"/>
  <c r="B8" i="18"/>
  <c r="B7" i="13"/>
  <c r="B14" i="13"/>
  <c r="B12" i="18"/>
  <c r="B15" i="18"/>
  <c r="B13" i="13"/>
  <c r="B11" i="18"/>
  <c r="B16" i="13"/>
  <c r="B14" i="18"/>
  <c r="D125" i="2"/>
  <c r="D46" i="2"/>
  <c r="D48" i="2"/>
  <c r="C3" i="16"/>
  <c r="B45" i="18"/>
  <c r="M6" i="4"/>
  <c r="M77" i="4" s="1"/>
  <c r="M185" i="4" s="1"/>
  <c r="M182" i="4" s="1"/>
  <c r="H6" i="4"/>
  <c r="H77" i="4" s="1"/>
  <c r="H185" i="4" s="1"/>
  <c r="H182" i="4" s="1"/>
  <c r="F6" i="4"/>
  <c r="F161" i="4" s="1"/>
  <c r="D6" i="4"/>
  <c r="D77" i="4" s="1"/>
  <c r="D185" i="4" s="1"/>
  <c r="D182" i="4" s="1"/>
  <c r="I6" i="4"/>
  <c r="I161" i="4" s="1"/>
  <c r="E6" i="4"/>
  <c r="E77" i="4" s="1"/>
  <c r="G6" i="4"/>
  <c r="G77" i="4" s="1"/>
  <c r="C6" i="4"/>
  <c r="C77" i="4" s="1"/>
  <c r="J22" i="17"/>
  <c r="U47" i="17"/>
  <c r="C13" i="16"/>
  <c r="BM8" i="13"/>
  <c r="BI8" i="13"/>
  <c r="BE8" i="13"/>
  <c r="BA8" i="13"/>
  <c r="L20" i="17"/>
  <c r="AY28" i="13"/>
  <c r="L38" i="17"/>
  <c r="B39" i="13"/>
  <c r="AV39" i="13"/>
  <c r="BG28" i="13"/>
  <c r="P20" i="17"/>
  <c r="P38" i="17"/>
  <c r="BK8" i="13"/>
  <c r="BG8" i="13"/>
  <c r="AY8" i="13"/>
  <c r="BC8" i="13"/>
  <c r="BC28" i="13"/>
  <c r="N20" i="17"/>
  <c r="N38" i="17"/>
  <c r="AW7" i="13"/>
  <c r="U48" i="17" s="1"/>
  <c r="BK28" i="13"/>
  <c r="R20" i="17"/>
  <c r="R38" i="17"/>
  <c r="B38" i="13"/>
  <c r="AV38" i="13"/>
  <c r="AV19" i="13"/>
  <c r="T30" i="13" s="1"/>
  <c r="S6" i="13"/>
  <c r="L13" i="16"/>
  <c r="L3" i="16"/>
  <c r="O13" i="16"/>
  <c r="O3" i="16"/>
  <c r="T33" i="13" s="1"/>
  <c r="B6" i="16"/>
  <c r="B16" i="16"/>
  <c r="F13" i="16"/>
  <c r="F3" i="16"/>
  <c r="T31" i="13" s="1"/>
  <c r="B3" i="16"/>
  <c r="B13" i="16"/>
  <c r="B5" i="16"/>
  <c r="B15" i="16"/>
  <c r="B7" i="16"/>
  <c r="B17" i="16"/>
  <c r="B21" i="16"/>
  <c r="B11" i="16"/>
  <c r="B18" i="16"/>
  <c r="B8" i="16"/>
  <c r="B9" i="16"/>
  <c r="B19" i="16"/>
  <c r="I13" i="16"/>
  <c r="I3" i="16"/>
  <c r="R3" i="16"/>
  <c r="R13" i="16"/>
  <c r="J9" i="4"/>
  <c r="N9" i="4"/>
  <c r="P8" i="4"/>
  <c r="L8" i="4"/>
  <c r="N8" i="4"/>
  <c r="J8" i="4"/>
  <c r="O8" i="4"/>
  <c r="K8" i="4"/>
  <c r="I5" i="4"/>
  <c r="H5" i="4"/>
  <c r="G5" i="4"/>
  <c r="F7" i="4"/>
  <c r="I7" i="4"/>
  <c r="H7" i="4"/>
  <c r="G7" i="4"/>
  <c r="E7" i="4"/>
  <c r="C7" i="4"/>
  <c r="D7" i="4"/>
  <c r="C146" i="2"/>
  <c r="C160" i="2"/>
  <c r="D103" i="2"/>
  <c r="D102" i="2"/>
  <c r="D101" i="2"/>
  <c r="C66" i="2"/>
  <c r="C650" i="7"/>
  <c r="S10" i="13"/>
  <c r="E95" i="12"/>
  <c r="B75" i="12"/>
  <c r="B42" i="12"/>
  <c r="F42" i="12"/>
  <c r="I75" i="12"/>
  <c r="E42" i="12"/>
  <c r="E75" i="12"/>
  <c r="G42" i="12"/>
  <c r="B95" i="12"/>
  <c r="D42" i="12"/>
  <c r="D95" i="12"/>
  <c r="I42" i="12"/>
  <c r="D75" i="12"/>
  <c r="H42" i="12"/>
  <c r="I95" i="12"/>
  <c r="C42" i="12"/>
  <c r="G95" i="12"/>
  <c r="F95" i="12"/>
  <c r="C75" i="12"/>
  <c r="H75" i="12"/>
  <c r="H95" i="12"/>
  <c r="G75" i="12"/>
  <c r="C95" i="12"/>
  <c r="F75" i="12"/>
  <c r="C118" i="7"/>
  <c r="H973" i="7"/>
  <c r="C634" i="7"/>
  <c r="H968" i="7"/>
  <c r="C698" i="7"/>
  <c r="H971" i="7"/>
  <c r="C70" i="7"/>
  <c r="H970" i="7"/>
  <c r="J9" i="7"/>
  <c r="J840" i="7"/>
  <c r="C666" i="7"/>
  <c r="H969" i="7"/>
  <c r="C102" i="7"/>
  <c r="H972" i="7"/>
  <c r="J904" i="7"/>
  <c r="F840" i="7"/>
  <c r="F904" i="7"/>
  <c r="I921" i="7"/>
  <c r="I943" i="7"/>
  <c r="G840" i="7"/>
  <c r="G904" i="7"/>
  <c r="E953" i="7"/>
  <c r="E904" i="7"/>
  <c r="E921" i="7"/>
  <c r="E943" i="7"/>
  <c r="D953" i="7"/>
  <c r="D921" i="7"/>
  <c r="D943" i="7"/>
  <c r="F262" i="7"/>
  <c r="F556" i="7" s="1"/>
  <c r="F953" i="7"/>
  <c r="F921" i="7"/>
  <c r="F943" i="7"/>
  <c r="D840" i="7"/>
  <c r="D904" i="7"/>
  <c r="G921" i="7"/>
  <c r="G943" i="7"/>
  <c r="H943" i="7"/>
  <c r="H921" i="7"/>
  <c r="C856" i="7"/>
  <c r="C920" i="7"/>
  <c r="C874" i="7"/>
  <c r="C942" i="7"/>
  <c r="C886" i="7"/>
  <c r="C952" i="7"/>
  <c r="C839" i="7"/>
  <c r="C903" i="7"/>
  <c r="I875" i="7"/>
  <c r="I857" i="7"/>
  <c r="E857" i="7"/>
  <c r="E887" i="7"/>
  <c r="E875" i="7"/>
  <c r="E840" i="7"/>
  <c r="D857" i="7"/>
  <c r="D887" i="7"/>
  <c r="D875" i="7"/>
  <c r="F887" i="7"/>
  <c r="F857" i="7"/>
  <c r="F875" i="7"/>
  <c r="G857" i="7"/>
  <c r="G875" i="7"/>
  <c r="H857" i="7"/>
  <c r="H875" i="7"/>
  <c r="C632" i="7"/>
  <c r="C824" i="7"/>
  <c r="I135" i="7"/>
  <c r="I769" i="7"/>
  <c r="I813" i="7"/>
  <c r="H135" i="7"/>
  <c r="H769" i="7"/>
  <c r="H813" i="7"/>
  <c r="C261" i="7"/>
  <c r="C768" i="7"/>
  <c r="E746" i="7"/>
  <c r="E825" i="7"/>
  <c r="E813" i="7"/>
  <c r="E769" i="7"/>
  <c r="D135" i="7"/>
  <c r="D825" i="7"/>
  <c r="D769" i="7"/>
  <c r="D813" i="7"/>
  <c r="C555" i="7"/>
  <c r="C812" i="7"/>
  <c r="F135" i="7"/>
  <c r="F825" i="7"/>
  <c r="F769" i="7"/>
  <c r="F813" i="7"/>
  <c r="G135" i="7"/>
  <c r="G769" i="7"/>
  <c r="G813" i="7"/>
  <c r="F633" i="7"/>
  <c r="C245" i="7"/>
  <c r="C514" i="7"/>
  <c r="C621" i="7"/>
  <c r="D262" i="7"/>
  <c r="D556" i="7" s="1"/>
  <c r="H262" i="7"/>
  <c r="H556" i="7" s="1"/>
  <c r="C588" i="7"/>
  <c r="C212" i="7"/>
  <c r="G262" i="7"/>
  <c r="G556" i="7" s="1"/>
  <c r="C682" i="7"/>
  <c r="D633" i="7"/>
  <c r="I262" i="7"/>
  <c r="I556" i="7" s="1"/>
  <c r="C606" i="7"/>
  <c r="C234" i="7"/>
  <c r="D9" i="7"/>
  <c r="D746" i="7"/>
  <c r="C730" i="7"/>
  <c r="C8" i="7"/>
  <c r="C745" i="7"/>
  <c r="F9" i="7"/>
  <c r="F746" i="7"/>
  <c r="C714" i="7"/>
  <c r="G9" i="7"/>
  <c r="G746" i="7"/>
  <c r="C498" i="7"/>
  <c r="E262" i="7"/>
  <c r="E556" i="7" s="1"/>
  <c r="E633" i="7"/>
  <c r="C597" i="7"/>
  <c r="C263" i="7"/>
  <c r="C557" i="7"/>
  <c r="C314" i="7"/>
  <c r="C568" i="7"/>
  <c r="C385" i="7"/>
  <c r="C579" i="7"/>
  <c r="C10" i="7"/>
  <c r="C136" i="7"/>
  <c r="C86" i="7"/>
  <c r="C223" i="7"/>
  <c r="C28" i="7"/>
  <c r="C152" i="7"/>
  <c r="C44" i="7"/>
  <c r="C161" i="7"/>
  <c r="E9" i="7"/>
  <c r="E135" i="7"/>
  <c r="C170" i="2"/>
  <c r="S22" i="13" l="1"/>
  <c r="G185" i="4"/>
  <c r="G182" i="4"/>
  <c r="E182" i="4"/>
  <c r="E161" i="4"/>
  <c r="E160" i="4"/>
  <c r="E121" i="4"/>
  <c r="L121" i="4"/>
  <c r="C161" i="4"/>
  <c r="I185" i="4"/>
  <c r="C185" i="4"/>
  <c r="F77" i="4"/>
  <c r="F185" i="4" s="1"/>
  <c r="F182" i="4" s="1"/>
  <c r="C160" i="4"/>
  <c r="K121" i="4"/>
  <c r="I160" i="4"/>
  <c r="D121" i="4"/>
  <c r="D161" i="4"/>
  <c r="I77" i="4"/>
  <c r="G160" i="4"/>
  <c r="G121" i="4"/>
  <c r="G161" i="4"/>
  <c r="C182" i="4"/>
  <c r="C121" i="4"/>
  <c r="E185" i="4"/>
  <c r="H161" i="4"/>
  <c r="F121" i="4"/>
  <c r="J121" i="4"/>
  <c r="N121" i="4"/>
  <c r="M161" i="4"/>
  <c r="H121" i="4"/>
  <c r="K20" i="17"/>
  <c r="AW28" i="13"/>
  <c r="C2" i="6" s="1"/>
  <c r="K38" i="17"/>
  <c r="N39" i="17"/>
  <c r="N21" i="17"/>
  <c r="BC29" i="13"/>
  <c r="M39" i="17"/>
  <c r="BA29" i="13"/>
  <c r="M21" i="17"/>
  <c r="L39" i="17"/>
  <c r="L21" i="17"/>
  <c r="AY29" i="13"/>
  <c r="O39" i="17"/>
  <c r="BE29" i="13"/>
  <c r="O21" i="17"/>
  <c r="P21" i="17"/>
  <c r="P39" i="17"/>
  <c r="BG29" i="13"/>
  <c r="Q21" i="17"/>
  <c r="Q39" i="17"/>
  <c r="BI29" i="13"/>
  <c r="R21" i="17"/>
  <c r="R39" i="17"/>
  <c r="BK29" i="13"/>
  <c r="S21" i="17"/>
  <c r="S39" i="17"/>
  <c r="BM29" i="13"/>
  <c r="N90" i="4"/>
  <c r="J90" i="4"/>
  <c r="K9" i="4"/>
  <c r="L9" i="4"/>
  <c r="P9" i="4"/>
  <c r="O9" i="4"/>
  <c r="S17" i="13"/>
  <c r="F17" i="17" s="1"/>
  <c r="L90" i="4" l="1"/>
  <c r="K90" i="4"/>
  <c r="P90" i="4"/>
  <c r="O90" i="4"/>
  <c r="S16" i="13"/>
  <c r="F16" i="17" s="1"/>
  <c r="J740" i="7"/>
  <c r="J120" i="7"/>
  <c r="J121" i="7"/>
  <c r="J122" i="7"/>
  <c r="J123" i="7"/>
  <c r="J124" i="7"/>
  <c r="J125" i="7"/>
  <c r="J126" i="7"/>
  <c r="J127" i="7"/>
  <c r="J128" i="7"/>
  <c r="J129" i="7"/>
  <c r="J130" i="7"/>
  <c r="J131" i="7"/>
  <c r="J132" i="7"/>
  <c r="J133" i="7"/>
  <c r="J119" i="7"/>
  <c r="J104" i="7"/>
  <c r="J105" i="7"/>
  <c r="J106" i="7"/>
  <c r="J107" i="7"/>
  <c r="J108" i="7"/>
  <c r="J109" i="7"/>
  <c r="J110" i="7"/>
  <c r="J111" i="7"/>
  <c r="J112" i="7"/>
  <c r="J113" i="7"/>
  <c r="J114" i="7"/>
  <c r="J115" i="7"/>
  <c r="J116" i="7"/>
  <c r="J117" i="7"/>
  <c r="J103" i="7"/>
  <c r="J88" i="7"/>
  <c r="J89" i="7"/>
  <c r="J90" i="7"/>
  <c r="J91" i="7"/>
  <c r="J92" i="7"/>
  <c r="J93" i="7"/>
  <c r="J94" i="7"/>
  <c r="J95" i="7"/>
  <c r="J96" i="7"/>
  <c r="J97" i="7"/>
  <c r="J98" i="7"/>
  <c r="J99" i="7"/>
  <c r="J100" i="7"/>
  <c r="J101" i="7"/>
  <c r="J87" i="7"/>
  <c r="J72" i="7"/>
  <c r="J73" i="7"/>
  <c r="J74" i="7"/>
  <c r="J75" i="7"/>
  <c r="J76" i="7"/>
  <c r="J77" i="7"/>
  <c r="J78" i="7"/>
  <c r="J79" i="7"/>
  <c r="J80" i="7"/>
  <c r="J81" i="7"/>
  <c r="J82" i="7"/>
  <c r="J83" i="7"/>
  <c r="J84" i="7"/>
  <c r="J85" i="7"/>
  <c r="J71" i="7"/>
  <c r="J46" i="7"/>
  <c r="J47" i="7"/>
  <c r="J48" i="7"/>
  <c r="J49" i="7"/>
  <c r="J50" i="7"/>
  <c r="J51" i="7"/>
  <c r="J52" i="7"/>
  <c r="J53" i="7"/>
  <c r="J54" i="7"/>
  <c r="J55" i="7"/>
  <c r="J56" i="7"/>
  <c r="J57" i="7"/>
  <c r="J58" i="7"/>
  <c r="J59" i="7"/>
  <c r="J60" i="7"/>
  <c r="J61" i="7"/>
  <c r="J62" i="7"/>
  <c r="J63" i="7"/>
  <c r="J64" i="7"/>
  <c r="J65" i="7"/>
  <c r="J66" i="7"/>
  <c r="J67" i="7"/>
  <c r="J68" i="7"/>
  <c r="J69" i="7"/>
  <c r="J45" i="7"/>
  <c r="J30" i="7"/>
  <c r="J31" i="7"/>
  <c r="J32" i="7"/>
  <c r="J33" i="7"/>
  <c r="J34" i="7"/>
  <c r="J35" i="7"/>
  <c r="J36" i="7"/>
  <c r="J37" i="7"/>
  <c r="J38" i="7"/>
  <c r="J39" i="7"/>
  <c r="J40" i="7"/>
  <c r="J41" i="7"/>
  <c r="J42" i="7"/>
  <c r="J43" i="7"/>
  <c r="J29" i="7"/>
  <c r="J23" i="7"/>
  <c r="J12" i="7"/>
  <c r="J13" i="7"/>
  <c r="J14" i="7"/>
  <c r="J15" i="7"/>
  <c r="J16" i="7"/>
  <c r="J17" i="7"/>
  <c r="J18" i="7"/>
  <c r="J19" i="7"/>
  <c r="J20" i="7"/>
  <c r="J21" i="7"/>
  <c r="J22" i="7"/>
  <c r="J24" i="7"/>
  <c r="J25" i="7"/>
  <c r="J26" i="7"/>
  <c r="J27" i="7"/>
  <c r="J11" i="7"/>
  <c r="F24" i="12"/>
  <c r="I24" i="12"/>
  <c r="F17" i="12"/>
  <c r="F18" i="12"/>
  <c r="F19" i="12"/>
  <c r="F20" i="12"/>
  <c r="F21" i="12"/>
  <c r="F25" i="12"/>
  <c r="F26" i="12"/>
  <c r="F27" i="12"/>
  <c r="F28" i="12"/>
  <c r="I17" i="12"/>
  <c r="I18" i="12"/>
  <c r="I19" i="12"/>
  <c r="I20" i="12"/>
  <c r="I21" i="12"/>
  <c r="I25" i="12"/>
  <c r="I26" i="12"/>
  <c r="I27" i="12"/>
  <c r="I28" i="12"/>
  <c r="F47" i="12"/>
  <c r="F48" i="12"/>
  <c r="F49" i="12"/>
  <c r="F50" i="12"/>
  <c r="I47" i="12"/>
  <c r="I48" i="12"/>
  <c r="I49" i="12"/>
  <c r="I50" i="12"/>
  <c r="F56" i="12"/>
  <c r="F57" i="12"/>
  <c r="F58" i="12"/>
  <c r="F59" i="12"/>
  <c r="I56" i="12"/>
  <c r="I57" i="12"/>
  <c r="I58" i="12"/>
  <c r="I59" i="12"/>
  <c r="F55" i="12"/>
  <c r="F60" i="12"/>
  <c r="F61" i="12"/>
  <c r="F62" i="12"/>
  <c r="F63" i="12"/>
  <c r="I55" i="12"/>
  <c r="I60" i="12"/>
  <c r="I61" i="12"/>
  <c r="I62" i="12"/>
  <c r="I63" i="12"/>
  <c r="F80" i="12"/>
  <c r="F81" i="12"/>
  <c r="F82" i="12"/>
  <c r="F83" i="12"/>
  <c r="F84" i="12"/>
  <c r="I80" i="12"/>
  <c r="I81" i="12"/>
  <c r="I82" i="12"/>
  <c r="I83" i="12"/>
  <c r="I84" i="12"/>
  <c r="F100" i="12"/>
  <c r="F101" i="12"/>
  <c r="F102" i="12"/>
  <c r="F103" i="12"/>
  <c r="F104" i="12"/>
  <c r="I100" i="12"/>
  <c r="I101" i="12"/>
  <c r="I102" i="12"/>
  <c r="I103" i="12"/>
  <c r="I104" i="12"/>
  <c r="M286" i="4" l="1"/>
  <c r="D286" i="4"/>
  <c r="E286" i="4"/>
  <c r="F286" i="4"/>
  <c r="G286" i="4"/>
  <c r="H286" i="4"/>
  <c r="I286" i="4"/>
  <c r="C286" i="4"/>
  <c r="C30" i="2" l="1"/>
  <c r="J619" i="7" l="1"/>
  <c r="I614" i="7"/>
  <c r="J614" i="7" s="1"/>
  <c r="I945" i="7"/>
  <c r="I946" i="7"/>
  <c r="I947" i="7"/>
  <c r="I948" i="7"/>
  <c r="I949" i="7"/>
  <c r="I950" i="7"/>
  <c r="I951" i="7"/>
  <c r="I944" i="7"/>
  <c r="I923" i="7"/>
  <c r="I924" i="7"/>
  <c r="I925" i="7"/>
  <c r="I926" i="7"/>
  <c r="I927" i="7"/>
  <c r="I928" i="7"/>
  <c r="I929" i="7"/>
  <c r="I930" i="7"/>
  <c r="I931" i="7"/>
  <c r="I932" i="7"/>
  <c r="I933" i="7"/>
  <c r="I934" i="7"/>
  <c r="I935" i="7"/>
  <c r="I936" i="7"/>
  <c r="I937" i="7"/>
  <c r="I938" i="7"/>
  <c r="I939" i="7"/>
  <c r="I940" i="7"/>
  <c r="I941" i="7"/>
  <c r="I922" i="7"/>
  <c r="I878" i="7"/>
  <c r="I877" i="7"/>
  <c r="I879" i="7"/>
  <c r="I880" i="7"/>
  <c r="I881" i="7"/>
  <c r="I882" i="7"/>
  <c r="I883" i="7"/>
  <c r="I884" i="7"/>
  <c r="I885" i="7"/>
  <c r="I876" i="7"/>
  <c r="I866" i="7"/>
  <c r="J866" i="7" s="1"/>
  <c r="I859" i="7"/>
  <c r="I860" i="7"/>
  <c r="I861" i="7"/>
  <c r="I862" i="7"/>
  <c r="I863" i="7"/>
  <c r="I864" i="7"/>
  <c r="I865" i="7"/>
  <c r="I867" i="7"/>
  <c r="I868" i="7"/>
  <c r="I869" i="7"/>
  <c r="I870" i="7"/>
  <c r="I871" i="7"/>
  <c r="I872" i="7"/>
  <c r="I873" i="7"/>
  <c r="I858" i="7"/>
  <c r="I815" i="7"/>
  <c r="I816" i="7"/>
  <c r="I817" i="7"/>
  <c r="I818" i="7"/>
  <c r="I819" i="7"/>
  <c r="I820" i="7"/>
  <c r="I821" i="7"/>
  <c r="I822" i="7"/>
  <c r="I823" i="7"/>
  <c r="I814" i="7"/>
  <c r="I771" i="7"/>
  <c r="I772" i="7"/>
  <c r="J772" i="7" s="1"/>
  <c r="I773" i="7"/>
  <c r="I774" i="7"/>
  <c r="I775" i="7"/>
  <c r="I776" i="7"/>
  <c r="I777" i="7"/>
  <c r="I778" i="7"/>
  <c r="I779" i="7"/>
  <c r="I780" i="7"/>
  <c r="I781" i="7"/>
  <c r="I782" i="7"/>
  <c r="I783" i="7"/>
  <c r="I784" i="7"/>
  <c r="I785" i="7"/>
  <c r="I786" i="7"/>
  <c r="I787" i="7"/>
  <c r="I788" i="7"/>
  <c r="I789" i="7"/>
  <c r="I790" i="7"/>
  <c r="I791" i="7"/>
  <c r="I792" i="7"/>
  <c r="I793" i="7"/>
  <c r="I794" i="7"/>
  <c r="I795" i="7"/>
  <c r="I796" i="7"/>
  <c r="I797" i="7"/>
  <c r="I798" i="7"/>
  <c r="I799" i="7"/>
  <c r="I800" i="7"/>
  <c r="I801" i="7"/>
  <c r="I802" i="7"/>
  <c r="I803" i="7"/>
  <c r="I804" i="7"/>
  <c r="I805" i="7"/>
  <c r="I806" i="7"/>
  <c r="I807" i="7"/>
  <c r="I808" i="7"/>
  <c r="I809" i="7"/>
  <c r="I810" i="7"/>
  <c r="I811" i="7"/>
  <c r="I770" i="7"/>
  <c r="I623" i="7"/>
  <c r="I624" i="7"/>
  <c r="I622" i="7"/>
  <c r="I608" i="7"/>
  <c r="I609" i="7"/>
  <c r="I610" i="7"/>
  <c r="I611" i="7"/>
  <c r="I612" i="7"/>
  <c r="I613" i="7"/>
  <c r="I620" i="7"/>
  <c r="I607" i="7"/>
  <c r="I599" i="7"/>
  <c r="I600" i="7"/>
  <c r="I601" i="7"/>
  <c r="I602" i="7"/>
  <c r="I603" i="7"/>
  <c r="I604" i="7"/>
  <c r="I605" i="7"/>
  <c r="I598" i="7"/>
  <c r="I590" i="7"/>
  <c r="I591" i="7"/>
  <c r="I592" i="7"/>
  <c r="I593" i="7"/>
  <c r="I594" i="7"/>
  <c r="I595" i="7"/>
  <c r="I596" i="7"/>
  <c r="I589" i="7"/>
  <c r="I581" i="7"/>
  <c r="I582" i="7"/>
  <c r="I583" i="7"/>
  <c r="I584" i="7"/>
  <c r="I585" i="7"/>
  <c r="I586" i="7"/>
  <c r="I587" i="7"/>
  <c r="I580" i="7"/>
  <c r="I570" i="7"/>
  <c r="I571" i="7"/>
  <c r="I572" i="7"/>
  <c r="I573" i="7"/>
  <c r="I574" i="7"/>
  <c r="I575" i="7"/>
  <c r="I576" i="7"/>
  <c r="I577" i="7"/>
  <c r="I578" i="7"/>
  <c r="I569" i="7"/>
  <c r="I559" i="7"/>
  <c r="I560" i="7"/>
  <c r="I561" i="7"/>
  <c r="I562" i="7"/>
  <c r="I563" i="7"/>
  <c r="I564" i="7"/>
  <c r="I565" i="7"/>
  <c r="I566" i="7"/>
  <c r="I567" i="7"/>
  <c r="I558" i="7"/>
  <c r="I516" i="7"/>
  <c r="I517" i="7"/>
  <c r="I518" i="7"/>
  <c r="I519" i="7"/>
  <c r="I520" i="7"/>
  <c r="I521" i="7"/>
  <c r="I522" i="7"/>
  <c r="I523" i="7"/>
  <c r="I524" i="7"/>
  <c r="I525" i="7"/>
  <c r="I526" i="7"/>
  <c r="I527" i="7"/>
  <c r="I528" i="7"/>
  <c r="I529" i="7"/>
  <c r="I530" i="7"/>
  <c r="I531" i="7"/>
  <c r="I532" i="7"/>
  <c r="I533" i="7"/>
  <c r="I534" i="7"/>
  <c r="I535" i="7"/>
  <c r="I536" i="7"/>
  <c r="I537" i="7"/>
  <c r="I538" i="7"/>
  <c r="I539" i="7"/>
  <c r="I540" i="7"/>
  <c r="I541" i="7"/>
  <c r="I542" i="7"/>
  <c r="I543" i="7"/>
  <c r="I544" i="7"/>
  <c r="I545" i="7"/>
  <c r="I546" i="7"/>
  <c r="I547" i="7"/>
  <c r="I548" i="7"/>
  <c r="I549" i="7"/>
  <c r="I550" i="7"/>
  <c r="I551" i="7"/>
  <c r="I552" i="7"/>
  <c r="I553" i="7"/>
  <c r="I554" i="7"/>
  <c r="I515" i="7"/>
  <c r="I500" i="7"/>
  <c r="I501" i="7"/>
  <c r="I502" i="7"/>
  <c r="I503" i="7"/>
  <c r="I504" i="7"/>
  <c r="I505" i="7"/>
  <c r="I506" i="7"/>
  <c r="I507" i="7"/>
  <c r="I508" i="7"/>
  <c r="I509" i="7"/>
  <c r="I510" i="7"/>
  <c r="I511" i="7"/>
  <c r="I512" i="7"/>
  <c r="I513" i="7"/>
  <c r="I499" i="7"/>
  <c r="I438" i="7"/>
  <c r="I439" i="7"/>
  <c r="I440" i="7"/>
  <c r="I441" i="7"/>
  <c r="I442" i="7"/>
  <c r="I443" i="7"/>
  <c r="I444" i="7"/>
  <c r="I445" i="7"/>
  <c r="I446" i="7"/>
  <c r="I447" i="7"/>
  <c r="I448" i="7"/>
  <c r="I449" i="7"/>
  <c r="I450" i="7"/>
  <c r="I451" i="7"/>
  <c r="I452" i="7"/>
  <c r="I453" i="7"/>
  <c r="I454" i="7"/>
  <c r="I455" i="7"/>
  <c r="I456" i="7"/>
  <c r="I457" i="7"/>
  <c r="I458" i="7"/>
  <c r="I459" i="7"/>
  <c r="I460" i="7"/>
  <c r="I461" i="7"/>
  <c r="I462" i="7"/>
  <c r="I463" i="7"/>
  <c r="I464" i="7"/>
  <c r="I465" i="7"/>
  <c r="I466" i="7"/>
  <c r="I467" i="7"/>
  <c r="I468" i="7"/>
  <c r="I469" i="7"/>
  <c r="I470" i="7"/>
  <c r="I471" i="7"/>
  <c r="I472" i="7"/>
  <c r="I473" i="7"/>
  <c r="I474" i="7"/>
  <c r="I475" i="7"/>
  <c r="I476" i="7"/>
  <c r="I477" i="7"/>
  <c r="I478" i="7"/>
  <c r="I479" i="7"/>
  <c r="I480" i="7"/>
  <c r="I481" i="7"/>
  <c r="I482" i="7"/>
  <c r="I483" i="7"/>
  <c r="I484" i="7"/>
  <c r="I485" i="7"/>
  <c r="I486" i="7"/>
  <c r="I487" i="7"/>
  <c r="I488" i="7"/>
  <c r="I489" i="7"/>
  <c r="I490" i="7"/>
  <c r="I491" i="7"/>
  <c r="I492" i="7"/>
  <c r="I493" i="7"/>
  <c r="I494" i="7"/>
  <c r="I495" i="7"/>
  <c r="I496" i="7"/>
  <c r="I497" i="7"/>
  <c r="I437" i="7"/>
  <c r="I387" i="7"/>
  <c r="I388" i="7"/>
  <c r="I389" i="7"/>
  <c r="I390" i="7"/>
  <c r="I391" i="7"/>
  <c r="I392" i="7"/>
  <c r="I393" i="7"/>
  <c r="I394" i="7"/>
  <c r="I395" i="7"/>
  <c r="I396" i="7"/>
  <c r="I397" i="7"/>
  <c r="I398" i="7"/>
  <c r="I399" i="7"/>
  <c r="I400" i="7"/>
  <c r="I401" i="7"/>
  <c r="I402" i="7"/>
  <c r="I403" i="7"/>
  <c r="I404" i="7"/>
  <c r="I405" i="7"/>
  <c r="I406" i="7"/>
  <c r="I407" i="7"/>
  <c r="I408" i="7"/>
  <c r="I409" i="7"/>
  <c r="I410" i="7"/>
  <c r="I411" i="7"/>
  <c r="I412" i="7"/>
  <c r="I413" i="7"/>
  <c r="I414" i="7"/>
  <c r="I415" i="7"/>
  <c r="I416" i="7"/>
  <c r="I417" i="7"/>
  <c r="I418" i="7"/>
  <c r="I419" i="7"/>
  <c r="I420" i="7"/>
  <c r="I421" i="7"/>
  <c r="I422" i="7"/>
  <c r="I423" i="7"/>
  <c r="I424" i="7"/>
  <c r="I425" i="7"/>
  <c r="I426" i="7"/>
  <c r="I427" i="7"/>
  <c r="I428" i="7"/>
  <c r="I429" i="7"/>
  <c r="I430" i="7"/>
  <c r="I431" i="7"/>
  <c r="I432" i="7"/>
  <c r="I433" i="7"/>
  <c r="I434" i="7"/>
  <c r="I435" i="7"/>
  <c r="I386" i="7"/>
  <c r="I316" i="7"/>
  <c r="I317" i="7"/>
  <c r="I318" i="7"/>
  <c r="I319" i="7"/>
  <c r="I320" i="7"/>
  <c r="I321" i="7"/>
  <c r="I322" i="7"/>
  <c r="I323" i="7"/>
  <c r="I324" i="7"/>
  <c r="I325" i="7"/>
  <c r="I326" i="7"/>
  <c r="I327" i="7"/>
  <c r="I328" i="7"/>
  <c r="I329" i="7"/>
  <c r="I330" i="7"/>
  <c r="I331" i="7"/>
  <c r="I332" i="7"/>
  <c r="I333" i="7"/>
  <c r="I334" i="7"/>
  <c r="I335" i="7"/>
  <c r="I336" i="7"/>
  <c r="I337" i="7"/>
  <c r="I338" i="7"/>
  <c r="I339" i="7"/>
  <c r="I340" i="7"/>
  <c r="I341" i="7"/>
  <c r="I342" i="7"/>
  <c r="I343" i="7"/>
  <c r="I344" i="7"/>
  <c r="I345" i="7"/>
  <c r="I346" i="7"/>
  <c r="I347" i="7"/>
  <c r="I348" i="7"/>
  <c r="I349" i="7"/>
  <c r="I350" i="7"/>
  <c r="I351" i="7"/>
  <c r="I352" i="7"/>
  <c r="I353" i="7"/>
  <c r="I354" i="7"/>
  <c r="I355" i="7"/>
  <c r="I356" i="7"/>
  <c r="I357" i="7"/>
  <c r="I358" i="7"/>
  <c r="I359" i="7"/>
  <c r="I360" i="7"/>
  <c r="I361" i="7"/>
  <c r="I362" i="7"/>
  <c r="I363" i="7"/>
  <c r="I364" i="7"/>
  <c r="I365" i="7"/>
  <c r="I366" i="7"/>
  <c r="I367" i="7"/>
  <c r="I368" i="7"/>
  <c r="I369" i="7"/>
  <c r="I370" i="7"/>
  <c r="I371" i="7"/>
  <c r="I372" i="7"/>
  <c r="I373" i="7"/>
  <c r="I374" i="7"/>
  <c r="I375" i="7"/>
  <c r="I376" i="7"/>
  <c r="I377" i="7"/>
  <c r="I378" i="7"/>
  <c r="I379" i="7"/>
  <c r="I380" i="7"/>
  <c r="I381" i="7"/>
  <c r="I382" i="7"/>
  <c r="I383" i="7"/>
  <c r="I384" i="7"/>
  <c r="I315" i="7"/>
  <c r="I265" i="7"/>
  <c r="I266" i="7"/>
  <c r="I267" i="7"/>
  <c r="I268" i="7"/>
  <c r="I269" i="7"/>
  <c r="I270" i="7"/>
  <c r="I271" i="7"/>
  <c r="I272" i="7"/>
  <c r="I273" i="7"/>
  <c r="I274" i="7"/>
  <c r="I275" i="7"/>
  <c r="I276" i="7"/>
  <c r="I277" i="7"/>
  <c r="I278" i="7"/>
  <c r="I279" i="7"/>
  <c r="I280" i="7"/>
  <c r="I281" i="7"/>
  <c r="I282" i="7"/>
  <c r="I283" i="7"/>
  <c r="I284" i="7"/>
  <c r="I285" i="7"/>
  <c r="I286" i="7"/>
  <c r="I287" i="7"/>
  <c r="I288" i="7"/>
  <c r="I289" i="7"/>
  <c r="I290" i="7"/>
  <c r="I291" i="7"/>
  <c r="I292" i="7"/>
  <c r="I293" i="7"/>
  <c r="I294" i="7"/>
  <c r="I295" i="7"/>
  <c r="I296" i="7"/>
  <c r="I297" i="7"/>
  <c r="I298" i="7"/>
  <c r="I299" i="7"/>
  <c r="I300" i="7"/>
  <c r="I301" i="7"/>
  <c r="I302" i="7"/>
  <c r="I303" i="7"/>
  <c r="I304" i="7"/>
  <c r="I305" i="7"/>
  <c r="I306" i="7"/>
  <c r="I307" i="7"/>
  <c r="I308" i="7"/>
  <c r="I309" i="7"/>
  <c r="I310" i="7"/>
  <c r="I311" i="7"/>
  <c r="I312" i="7"/>
  <c r="I313" i="7"/>
  <c r="I264" i="7"/>
  <c r="I247" i="7"/>
  <c r="I248" i="7"/>
  <c r="I249" i="7"/>
  <c r="I250" i="7"/>
  <c r="I251" i="7"/>
  <c r="I252" i="7"/>
  <c r="I253" i="7"/>
  <c r="I254" i="7"/>
  <c r="I255" i="7"/>
  <c r="I256" i="7"/>
  <c r="I257" i="7"/>
  <c r="I258" i="7"/>
  <c r="I259" i="7"/>
  <c r="I260" i="7"/>
  <c r="I246" i="7"/>
  <c r="I236" i="7"/>
  <c r="I237" i="7"/>
  <c r="I238" i="7"/>
  <c r="I239" i="7"/>
  <c r="I240" i="7"/>
  <c r="I241" i="7"/>
  <c r="I242" i="7"/>
  <c r="I243" i="7"/>
  <c r="I244" i="7"/>
  <c r="I235" i="7"/>
  <c r="I225" i="7"/>
  <c r="I226" i="7"/>
  <c r="I227" i="7"/>
  <c r="I228" i="7"/>
  <c r="I229" i="7"/>
  <c r="I230" i="7"/>
  <c r="I231" i="7"/>
  <c r="I232" i="7"/>
  <c r="I233" i="7"/>
  <c r="I224" i="7"/>
  <c r="I214" i="7"/>
  <c r="I215" i="7"/>
  <c r="I216" i="7"/>
  <c r="I217" i="7"/>
  <c r="I218" i="7"/>
  <c r="I219" i="7"/>
  <c r="I220" i="7"/>
  <c r="I221" i="7"/>
  <c r="I222" i="7"/>
  <c r="I213"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205" i="7"/>
  <c r="I206" i="7"/>
  <c r="I207" i="7"/>
  <c r="I208" i="7"/>
  <c r="I209" i="7"/>
  <c r="I210" i="7"/>
  <c r="I211" i="7"/>
  <c r="I162" i="7"/>
  <c r="I154" i="7"/>
  <c r="I155" i="7"/>
  <c r="I156" i="7"/>
  <c r="I157" i="7"/>
  <c r="I158" i="7"/>
  <c r="I159" i="7"/>
  <c r="I160" i="7"/>
  <c r="I153" i="7"/>
  <c r="I138" i="7"/>
  <c r="I139" i="7"/>
  <c r="I140" i="7"/>
  <c r="I141" i="7"/>
  <c r="I142" i="7"/>
  <c r="I143" i="7"/>
  <c r="I144" i="7"/>
  <c r="I145" i="7"/>
  <c r="I146" i="7"/>
  <c r="I147" i="7"/>
  <c r="I148" i="7"/>
  <c r="I149" i="7"/>
  <c r="I150" i="7"/>
  <c r="I151" i="7"/>
  <c r="I137" i="7"/>
  <c r="C33" i="6" l="1"/>
  <c r="AW38" i="13" s="1"/>
  <c r="C42" i="2"/>
  <c r="J753" i="7"/>
  <c r="C38" i="13" l="1"/>
  <c r="C37" i="6"/>
  <c r="AW42" i="13" s="1"/>
  <c r="G38" i="13" l="1"/>
  <c r="C7" i="17" s="1"/>
  <c r="C79" i="2"/>
  <c r="P121" i="4" s="1"/>
  <c r="E31" i="6" l="1"/>
  <c r="BA36" i="13" s="1"/>
  <c r="F31" i="6"/>
  <c r="BC36" i="13" s="1"/>
  <c r="G31" i="6"/>
  <c r="BE36" i="13" s="1"/>
  <c r="H31" i="6"/>
  <c r="BG36" i="13" s="1"/>
  <c r="I31" i="6"/>
  <c r="BI36" i="13" s="1"/>
  <c r="J31" i="6"/>
  <c r="BK36" i="13" s="1"/>
  <c r="K31" i="6"/>
  <c r="BM36" i="13" s="1"/>
  <c r="D31" i="6"/>
  <c r="AY36" i="13" s="1"/>
  <c r="C27" i="6"/>
  <c r="C24" i="6"/>
  <c r="C23" i="6"/>
  <c r="M270" i="4"/>
  <c r="M271" i="4" s="1"/>
  <c r="D270" i="4"/>
  <c r="D271" i="4" s="1"/>
  <c r="E270" i="4"/>
  <c r="E271" i="4" s="1"/>
  <c r="F270" i="4"/>
  <c r="F271" i="4" s="1"/>
  <c r="G270" i="4"/>
  <c r="G271" i="4" s="1"/>
  <c r="H270" i="4"/>
  <c r="H271" i="4" s="1"/>
  <c r="I270" i="4"/>
  <c r="I271" i="4" s="1"/>
  <c r="C270" i="4"/>
  <c r="C271" i="4" s="1"/>
  <c r="C275" i="4" l="1"/>
  <c r="D275" i="4"/>
  <c r="G275" i="4"/>
  <c r="E275" i="4"/>
  <c r="M275" i="4"/>
  <c r="F275" i="4"/>
  <c r="I275" i="4"/>
  <c r="H275" i="4"/>
  <c r="K33" i="6"/>
  <c r="BM38" i="13" s="1"/>
  <c r="J33" i="6"/>
  <c r="BK38" i="13" s="1"/>
  <c r="I33" i="6"/>
  <c r="BI38" i="13" s="1"/>
  <c r="H33" i="6"/>
  <c r="BG38" i="13" s="1"/>
  <c r="G33" i="6"/>
  <c r="BE38" i="13" s="1"/>
  <c r="F33" i="6"/>
  <c r="BC38" i="13" s="1"/>
  <c r="E33" i="6"/>
  <c r="BA38" i="13" s="1"/>
  <c r="D33" i="6"/>
  <c r="AY38" i="13" s="1"/>
  <c r="K32" i="6"/>
  <c r="BM37" i="13" s="1"/>
  <c r="J32" i="6"/>
  <c r="BK37" i="13" s="1"/>
  <c r="I32" i="6"/>
  <c r="BI37" i="13" s="1"/>
  <c r="H32" i="6"/>
  <c r="BG37" i="13" s="1"/>
  <c r="G32" i="6"/>
  <c r="BE37" i="13" s="1"/>
  <c r="F32" i="6"/>
  <c r="BC37" i="13" s="1"/>
  <c r="E32" i="6"/>
  <c r="BA37" i="13" s="1"/>
  <c r="C19" i="6"/>
  <c r="B44" i="13"/>
  <c r="D32" i="6"/>
  <c r="AY37" i="13" s="1"/>
  <c r="C161" i="2"/>
  <c r="C12" i="6"/>
  <c r="AW31" i="13" s="1"/>
  <c r="C13" i="6"/>
  <c r="AW32" i="13" s="1"/>
  <c r="C11" i="6"/>
  <c r="AW30" i="13" s="1"/>
  <c r="F76" i="12"/>
  <c r="F12" i="12"/>
  <c r="I13" i="12"/>
  <c r="I14" i="12"/>
  <c r="I15" i="12"/>
  <c r="I16" i="12"/>
  <c r="I29" i="12"/>
  <c r="I30" i="12"/>
  <c r="I31" i="12"/>
  <c r="I32" i="12"/>
  <c r="I33" i="12"/>
  <c r="I34" i="12"/>
  <c r="I35" i="12"/>
  <c r="I36" i="12"/>
  <c r="I37" i="12"/>
  <c r="I38" i="12"/>
  <c r="I39" i="12"/>
  <c r="I40" i="12"/>
  <c r="F110" i="12"/>
  <c r="F99" i="12"/>
  <c r="F97" i="12"/>
  <c r="F98" i="12"/>
  <c r="F105" i="12"/>
  <c r="F106" i="12"/>
  <c r="F107" i="12"/>
  <c r="F108" i="12"/>
  <c r="F109" i="12"/>
  <c r="F111" i="12"/>
  <c r="F77" i="12"/>
  <c r="F78" i="12"/>
  <c r="F79" i="12"/>
  <c r="F85" i="12"/>
  <c r="F86" i="12"/>
  <c r="F87" i="12"/>
  <c r="F88" i="12"/>
  <c r="F89" i="12"/>
  <c r="F90" i="12"/>
  <c r="F91" i="12"/>
  <c r="F92" i="12"/>
  <c r="F93" i="12"/>
  <c r="I96" i="12"/>
  <c r="I97" i="12"/>
  <c r="I98" i="12"/>
  <c r="I99" i="12"/>
  <c r="I105" i="12"/>
  <c r="I106" i="12"/>
  <c r="I107" i="12"/>
  <c r="I108" i="12"/>
  <c r="I109" i="12"/>
  <c r="I110" i="12"/>
  <c r="I111" i="12"/>
  <c r="I76" i="12"/>
  <c r="I77" i="12"/>
  <c r="I78" i="12"/>
  <c r="I79" i="12"/>
  <c r="I85" i="12"/>
  <c r="I86" i="12"/>
  <c r="I87" i="12"/>
  <c r="I88" i="12"/>
  <c r="I89" i="12"/>
  <c r="I90" i="12"/>
  <c r="I91" i="12"/>
  <c r="I92" i="12"/>
  <c r="I93" i="12"/>
  <c r="I43" i="12"/>
  <c r="I44" i="12"/>
  <c r="I45" i="12"/>
  <c r="I46" i="12"/>
  <c r="I51" i="12"/>
  <c r="I52" i="12"/>
  <c r="I54" i="12"/>
  <c r="I64" i="12"/>
  <c r="I65" i="12"/>
  <c r="I66" i="12"/>
  <c r="I67" i="12"/>
  <c r="I68" i="12"/>
  <c r="I69" i="12"/>
  <c r="I70" i="12"/>
  <c r="I71" i="12"/>
  <c r="I72" i="12"/>
  <c r="I73" i="12"/>
  <c r="I12" i="12"/>
  <c r="F68" i="12"/>
  <c r="F66" i="12"/>
  <c r="F46" i="12"/>
  <c r="F44" i="12"/>
  <c r="F70" i="12"/>
  <c r="F45" i="12"/>
  <c r="F51" i="12"/>
  <c r="F52" i="12"/>
  <c r="F54" i="12"/>
  <c r="F64" i="12"/>
  <c r="F65" i="12"/>
  <c r="F67" i="12"/>
  <c r="F69" i="12"/>
  <c r="F71" i="12"/>
  <c r="F72" i="12"/>
  <c r="F73" i="12"/>
  <c r="F32" i="12"/>
  <c r="F40" i="12"/>
  <c r="F13" i="12"/>
  <c r="F14" i="12"/>
  <c r="F15" i="12"/>
  <c r="F16" i="12"/>
  <c r="F29" i="12"/>
  <c r="F30" i="12"/>
  <c r="F31" i="12"/>
  <c r="F33" i="12"/>
  <c r="F34" i="12"/>
  <c r="F35" i="12"/>
  <c r="F36" i="12"/>
  <c r="F37" i="12"/>
  <c r="F38" i="12"/>
  <c r="F39" i="12"/>
  <c r="D26" i="6" l="1"/>
  <c r="E26" i="6"/>
  <c r="F26" i="6"/>
  <c r="I26" i="6"/>
  <c r="G26" i="6"/>
  <c r="H26" i="6"/>
  <c r="K26" i="6"/>
  <c r="J26" i="6"/>
  <c r="C14" i="6"/>
  <c r="AW33" i="13" s="1"/>
  <c r="I112" i="12"/>
  <c r="C32" i="6"/>
  <c r="AW37" i="13" s="1"/>
  <c r="B37" i="13"/>
  <c r="B40" i="13"/>
  <c r="B41" i="13"/>
  <c r="B42" i="13"/>
  <c r="B43" i="13"/>
  <c r="B36" i="13"/>
  <c r="C37" i="13" l="1"/>
  <c r="C16" i="6"/>
  <c r="AW35" i="13" s="1"/>
  <c r="C15" i="6"/>
  <c r="AW34" i="13" s="1"/>
  <c r="C26" i="6"/>
  <c r="C31" i="6"/>
  <c r="AW36" i="13" s="1"/>
  <c r="C38" i="6"/>
  <c r="AW43" i="13" s="1"/>
  <c r="C36" i="6"/>
  <c r="AW41" i="13" s="1"/>
  <c r="C35" i="6"/>
  <c r="AW40" i="13" s="1"/>
  <c r="C80" i="4"/>
  <c r="C83" i="4" s="1"/>
  <c r="C87" i="4" l="1"/>
  <c r="C39" i="6"/>
  <c r="C44" i="13" s="1"/>
  <c r="C36" i="13"/>
  <c r="C43" i="13"/>
  <c r="C40" i="13"/>
  <c r="C41" i="13"/>
  <c r="C42" i="13"/>
  <c r="C81" i="4"/>
  <c r="C84" i="4" s="1"/>
  <c r="C22" i="6"/>
  <c r="O245" i="4"/>
  <c r="O244" i="4"/>
  <c r="K245" i="4"/>
  <c r="K244" i="4"/>
  <c r="P237" i="4"/>
  <c r="L237" i="4"/>
  <c r="P236" i="4"/>
  <c r="L236" i="4"/>
  <c r="D231" i="4"/>
  <c r="E231" i="4"/>
  <c r="F231" i="4"/>
  <c r="G231" i="4"/>
  <c r="H231" i="4"/>
  <c r="C231" i="4"/>
  <c r="S8" i="13"/>
  <c r="F15" i="17" s="1"/>
  <c r="S18" i="13"/>
  <c r="F18" i="17" s="1"/>
  <c r="C10" i="6" l="1"/>
  <c r="J145" i="7"/>
  <c r="J138" i="7"/>
  <c r="J139" i="7"/>
  <c r="J140" i="7"/>
  <c r="J141" i="7"/>
  <c r="J142" i="7"/>
  <c r="J143" i="7"/>
  <c r="J144" i="7"/>
  <c r="J146" i="7"/>
  <c r="J147" i="7"/>
  <c r="J148" i="7"/>
  <c r="J155" i="7"/>
  <c r="J156" i="7"/>
  <c r="J154" i="7"/>
  <c r="J157" i="7"/>
  <c r="J181" i="7"/>
  <c r="J182" i="7"/>
  <c r="J183" i="7"/>
  <c r="J171" i="7"/>
  <c r="J172" i="7"/>
  <c r="J173" i="7"/>
  <c r="J174" i="7"/>
  <c r="J175" i="7"/>
  <c r="J176" i="7"/>
  <c r="J177" i="7"/>
  <c r="J178" i="7"/>
  <c r="J179" i="7"/>
  <c r="J180" i="7"/>
  <c r="J184" i="7"/>
  <c r="J163" i="7"/>
  <c r="J164" i="7"/>
  <c r="J165" i="7"/>
  <c r="J166" i="7"/>
  <c r="J167" i="7"/>
  <c r="J168" i="7"/>
  <c r="J169" i="7"/>
  <c r="J170" i="7"/>
  <c r="J185" i="7"/>
  <c r="J186" i="7"/>
  <c r="J214" i="7"/>
  <c r="J215" i="7"/>
  <c r="J216" i="7"/>
  <c r="J217" i="7"/>
  <c r="J218" i="7"/>
  <c r="J219" i="7"/>
  <c r="J220" i="7"/>
  <c r="J225" i="7"/>
  <c r="J226" i="7"/>
  <c r="J227" i="7"/>
  <c r="J228" i="7"/>
  <c r="J229" i="7"/>
  <c r="J230" i="7"/>
  <c r="J231" i="7"/>
  <c r="J236" i="7"/>
  <c r="J237" i="7"/>
  <c r="J238" i="7"/>
  <c r="J239" i="7"/>
  <c r="J249" i="7"/>
  <c r="J250" i="7"/>
  <c r="J251" i="7"/>
  <c r="J252" i="7"/>
  <c r="J248" i="7"/>
  <c r="J253" i="7"/>
  <c r="J254" i="7"/>
  <c r="J255" i="7"/>
  <c r="J256" i="7"/>
  <c r="J257" i="7"/>
  <c r="J258" i="7"/>
  <c r="J278" i="7"/>
  <c r="J280" i="7"/>
  <c r="J281" i="7"/>
  <c r="J282" i="7"/>
  <c r="J283" i="7"/>
  <c r="J284" i="7"/>
  <c r="J285" i="7"/>
  <c r="J286" i="7"/>
  <c r="J279" i="7"/>
  <c r="J347" i="7"/>
  <c r="J348" i="7"/>
  <c r="J349" i="7"/>
  <c r="J350" i="7"/>
  <c r="J351" i="7"/>
  <c r="J352" i="7"/>
  <c r="J353" i="7"/>
  <c r="J354" i="7"/>
  <c r="J405" i="7"/>
  <c r="J406" i="7"/>
  <c r="J407" i="7"/>
  <c r="J408" i="7"/>
  <c r="J409" i="7"/>
  <c r="J410" i="7"/>
  <c r="J411" i="7"/>
  <c r="J412" i="7"/>
  <c r="J413"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76" i="7"/>
  <c r="J477" i="7"/>
  <c r="J470" i="7"/>
  <c r="J471" i="7"/>
  <c r="J472" i="7"/>
  <c r="J473" i="7"/>
  <c r="J474" i="7"/>
  <c r="J475" i="7"/>
  <c r="J478" i="7"/>
  <c r="J479" i="7"/>
  <c r="J480" i="7"/>
  <c r="J481" i="7"/>
  <c r="J469" i="7"/>
  <c r="J482" i="7"/>
  <c r="J483" i="7"/>
  <c r="J484" i="7"/>
  <c r="J485" i="7"/>
  <c r="J486" i="7"/>
  <c r="J487" i="7"/>
  <c r="J488" i="7"/>
  <c r="J489" i="7"/>
  <c r="J490" i="7"/>
  <c r="J491" i="7"/>
  <c r="J492" i="7"/>
  <c r="J502" i="7"/>
  <c r="J503" i="7"/>
  <c r="J504" i="7"/>
  <c r="J505" i="7"/>
  <c r="J506" i="7"/>
  <c r="J507" i="7"/>
  <c r="J508" i="7"/>
  <c r="J532" i="7"/>
  <c r="J533" i="7"/>
  <c r="J534" i="7"/>
  <c r="J531" i="7"/>
  <c r="J535" i="7"/>
  <c r="J536" i="7"/>
  <c r="J537" i="7"/>
  <c r="J538" i="7"/>
  <c r="J539" i="7"/>
  <c r="J540" i="7"/>
  <c r="J541" i="7"/>
  <c r="J542" i="7"/>
  <c r="J543" i="7"/>
  <c r="J559" i="7"/>
  <c r="J560" i="7"/>
  <c r="J561" i="7"/>
  <c r="J562" i="7"/>
  <c r="J563" i="7"/>
  <c r="J564" i="7"/>
  <c r="J570" i="7"/>
  <c r="J571" i="7"/>
  <c r="J572" i="7"/>
  <c r="J573" i="7"/>
  <c r="J574" i="7"/>
  <c r="J575" i="7"/>
  <c r="J581" i="7"/>
  <c r="J582" i="7"/>
  <c r="J583" i="7"/>
  <c r="J584" i="7"/>
  <c r="J590" i="7"/>
  <c r="J591" i="7"/>
  <c r="J592" i="7"/>
  <c r="J593" i="7"/>
  <c r="J600" i="7"/>
  <c r="J601" i="7"/>
  <c r="J599" i="7"/>
  <c r="J602" i="7"/>
  <c r="J608" i="7"/>
  <c r="J609" i="7"/>
  <c r="J610" i="7"/>
  <c r="J611" i="7"/>
  <c r="J612" i="7"/>
  <c r="J623" i="7"/>
  <c r="J624" i="7"/>
  <c r="J625" i="7"/>
  <c r="J626" i="7"/>
  <c r="J640" i="7"/>
  <c r="J636" i="7"/>
  <c r="J637" i="7"/>
  <c r="J638" i="7"/>
  <c r="J639" i="7"/>
  <c r="J641" i="7"/>
  <c r="J642" i="7"/>
  <c r="J643" i="7"/>
  <c r="J644" i="7"/>
  <c r="J655" i="7"/>
  <c r="J656" i="7"/>
  <c r="J653" i="7"/>
  <c r="J654" i="7"/>
  <c r="J657" i="7"/>
  <c r="J658" i="7"/>
  <c r="J659" i="7"/>
  <c r="J660" i="7"/>
  <c r="J661" i="7"/>
  <c r="J662" i="7"/>
  <c r="J663" i="7"/>
  <c r="J669" i="7"/>
  <c r="J670" i="7"/>
  <c r="J671" i="7"/>
  <c r="J672" i="7"/>
  <c r="J673" i="7"/>
  <c r="J674" i="7"/>
  <c r="J675" i="7"/>
  <c r="J668" i="7"/>
  <c r="J676" i="7"/>
  <c r="J677" i="7"/>
  <c r="J678" i="7"/>
  <c r="J687" i="7"/>
  <c r="J684" i="7"/>
  <c r="J685" i="7"/>
  <c r="J686" i="7"/>
  <c r="J688" i="7"/>
  <c r="J689" i="7"/>
  <c r="J690" i="7"/>
  <c r="J691" i="7"/>
  <c r="J692" i="7"/>
  <c r="J693" i="7"/>
  <c r="J701" i="7"/>
  <c r="J702" i="7"/>
  <c r="J703" i="7"/>
  <c r="J704" i="7"/>
  <c r="J705" i="7"/>
  <c r="J706" i="7"/>
  <c r="J707" i="7"/>
  <c r="J700" i="7"/>
  <c r="J708" i="7"/>
  <c r="J709" i="7"/>
  <c r="J710" i="7"/>
  <c r="J718" i="7"/>
  <c r="J719" i="7"/>
  <c r="J720" i="7"/>
  <c r="J716" i="7"/>
  <c r="J717" i="7"/>
  <c r="J721" i="7"/>
  <c r="J722" i="7"/>
  <c r="J723" i="7"/>
  <c r="J724" i="7"/>
  <c r="J725" i="7"/>
  <c r="J726" i="7"/>
  <c r="J732" i="7"/>
  <c r="J733" i="7"/>
  <c r="J734" i="7"/>
  <c r="J735" i="7"/>
  <c r="J736" i="7"/>
  <c r="J737" i="7"/>
  <c r="J738" i="7"/>
  <c r="J739" i="7"/>
  <c r="J741" i="7"/>
  <c r="J742" i="7"/>
  <c r="J755" i="7"/>
  <c r="J752" i="7"/>
  <c r="J754" i="7"/>
  <c r="J756" i="7"/>
  <c r="J757" i="7"/>
  <c r="J758" i="7"/>
  <c r="J759" i="7"/>
  <c r="J777" i="7"/>
  <c r="J778" i="7"/>
  <c r="J779" i="7"/>
  <c r="J780" i="7"/>
  <c r="J781" i="7"/>
  <c r="J782" i="7"/>
  <c r="J783" i="7"/>
  <c r="J784" i="7"/>
  <c r="J785" i="7"/>
  <c r="J786" i="7"/>
  <c r="J787" i="7"/>
  <c r="J792" i="7"/>
  <c r="J791" i="7"/>
  <c r="J793" i="7"/>
  <c r="J788" i="7"/>
  <c r="J789" i="7"/>
  <c r="J790" i="7"/>
  <c r="J794" i="7"/>
  <c r="J795" i="7"/>
  <c r="J796" i="7"/>
  <c r="J797" i="7"/>
  <c r="J816" i="7"/>
  <c r="J817" i="7"/>
  <c r="J815" i="7"/>
  <c r="J818" i="7"/>
  <c r="J819" i="7"/>
  <c r="J820" i="7"/>
  <c r="J821" i="7"/>
  <c r="J822" i="7"/>
  <c r="J814" i="7"/>
  <c r="J831" i="7"/>
  <c r="J827" i="7"/>
  <c r="J828" i="7"/>
  <c r="J829" i="7"/>
  <c r="J830" i="7"/>
  <c r="J832" i="7"/>
  <c r="J833" i="7"/>
  <c r="J834" i="7"/>
  <c r="J835" i="7"/>
  <c r="J846" i="7"/>
  <c r="J842" i="7"/>
  <c r="J843" i="7"/>
  <c r="J844" i="7"/>
  <c r="J845" i="7"/>
  <c r="J847" i="7"/>
  <c r="J848" i="7"/>
  <c r="J849" i="7"/>
  <c r="J850" i="7"/>
  <c r="J851" i="7"/>
  <c r="J852" i="7"/>
  <c r="J853" i="7"/>
  <c r="J859" i="7"/>
  <c r="J860" i="7"/>
  <c r="J861" i="7"/>
  <c r="J862" i="7"/>
  <c r="J863" i="7"/>
  <c r="J864" i="7"/>
  <c r="J865" i="7"/>
  <c r="J867" i="7"/>
  <c r="J868" i="7"/>
  <c r="J869" i="7"/>
  <c r="J870" i="7"/>
  <c r="J871" i="7"/>
  <c r="J872" i="7"/>
  <c r="J877" i="7"/>
  <c r="J878" i="7"/>
  <c r="J879" i="7"/>
  <c r="J880" i="7"/>
  <c r="J881" i="7"/>
  <c r="J882" i="7"/>
  <c r="J883" i="7"/>
  <c r="J884" i="7"/>
  <c r="J889" i="7"/>
  <c r="J890" i="7"/>
  <c r="J891" i="7"/>
  <c r="J892" i="7"/>
  <c r="J893" i="7"/>
  <c r="J894" i="7"/>
  <c r="J895" i="7"/>
  <c r="J896" i="7"/>
  <c r="J897" i="7"/>
  <c r="J898" i="7"/>
  <c r="J899" i="7"/>
  <c r="J910" i="7"/>
  <c r="J906" i="7"/>
  <c r="J907" i="7"/>
  <c r="J908" i="7"/>
  <c r="J909" i="7"/>
  <c r="J911" i="7"/>
  <c r="J912" i="7"/>
  <c r="J913" i="7"/>
  <c r="J914" i="7"/>
  <c r="J915" i="7"/>
  <c r="J916" i="7"/>
  <c r="J917" i="7"/>
  <c r="J918" i="7"/>
  <c r="J924" i="7"/>
  <c r="J925" i="7"/>
  <c r="J926" i="7"/>
  <c r="J927" i="7"/>
  <c r="J928" i="7"/>
  <c r="J929" i="7"/>
  <c r="J930" i="7"/>
  <c r="J957" i="7"/>
  <c r="J958" i="7"/>
  <c r="J959" i="7"/>
  <c r="J955" i="7"/>
  <c r="J956" i="7"/>
  <c r="J960" i="7"/>
  <c r="J961" i="7"/>
  <c r="J962" i="7"/>
  <c r="J963" i="7"/>
  <c r="J964" i="7"/>
  <c r="J965" i="7"/>
  <c r="J945" i="7"/>
  <c r="J946" i="7"/>
  <c r="J947" i="7"/>
  <c r="J948" i="7"/>
  <c r="J949" i="7"/>
  <c r="J950" i="7"/>
  <c r="C127" i="4" l="1"/>
  <c r="B5" i="2"/>
  <c r="H114" i="12" l="1"/>
  <c r="G114" i="12"/>
  <c r="I114" i="12"/>
  <c r="C140" i="4"/>
  <c r="C18" i="2"/>
  <c r="G278" i="4"/>
  <c r="G279" i="4" s="1"/>
  <c r="M263" i="4"/>
  <c r="M264" i="4" s="1"/>
  <c r="I263" i="4"/>
  <c r="I264" i="4" s="1"/>
  <c r="D263" i="4"/>
  <c r="D264" i="4" s="1"/>
  <c r="E263" i="4"/>
  <c r="E264" i="4" s="1"/>
  <c r="F263" i="4"/>
  <c r="F264" i="4" s="1"/>
  <c r="G263" i="4"/>
  <c r="G264" i="4" s="1"/>
  <c r="H263" i="4"/>
  <c r="H264" i="4" s="1"/>
  <c r="C263" i="4"/>
  <c r="C264" i="4" s="1"/>
  <c r="C98" i="4" l="1"/>
  <c r="D98" i="4"/>
  <c r="E98" i="4"/>
  <c r="F98" i="4"/>
  <c r="G98" i="4"/>
  <c r="H98" i="4"/>
  <c r="I98" i="4"/>
  <c r="M98" i="4"/>
  <c r="M268" i="4"/>
  <c r="I268" i="4"/>
  <c r="G27" i="6"/>
  <c r="H27" i="6"/>
  <c r="I27" i="6"/>
  <c r="E27" i="6"/>
  <c r="J27" i="6"/>
  <c r="K27" i="6"/>
  <c r="F27" i="6"/>
  <c r="D27" i="6"/>
  <c r="D278" i="4"/>
  <c r="D279" i="4" s="1"/>
  <c r="D285" i="4" s="1"/>
  <c r="E278" i="4"/>
  <c r="E279" i="4" s="1"/>
  <c r="E285" i="4" s="1"/>
  <c r="C278" i="4"/>
  <c r="C279" i="4" s="1"/>
  <c r="C285" i="4" s="1"/>
  <c r="F278" i="4"/>
  <c r="F279" i="4" s="1"/>
  <c r="F285" i="4" s="1"/>
  <c r="I278" i="4"/>
  <c r="I279" i="4" s="1"/>
  <c r="I285" i="4" s="1"/>
  <c r="M278" i="4"/>
  <c r="M279" i="4" s="1"/>
  <c r="M285" i="4" s="1"/>
  <c r="H278" i="4"/>
  <c r="H279" i="4" s="1"/>
  <c r="H285" i="4" s="1"/>
  <c r="H268" i="4"/>
  <c r="F268" i="4"/>
  <c r="C268" i="4"/>
  <c r="E268" i="4"/>
  <c r="D268" i="4"/>
  <c r="G285" i="4"/>
  <c r="G268" i="4"/>
  <c r="C35" i="2" l="1"/>
  <c r="C28" i="2"/>
  <c r="J940" i="7" l="1"/>
  <c r="J931" i="7"/>
  <c r="J932" i="7"/>
  <c r="J933" i="7"/>
  <c r="J934" i="7"/>
  <c r="J935" i="7"/>
  <c r="J936" i="7"/>
  <c r="J937" i="7"/>
  <c r="J938" i="7"/>
  <c r="J939" i="7"/>
  <c r="J941" i="7"/>
  <c r="J805" i="7"/>
  <c r="J806" i="7"/>
  <c r="J807" i="7"/>
  <c r="J808" i="7"/>
  <c r="J809" i="7"/>
  <c r="J810" i="7"/>
  <c r="J811" i="7"/>
  <c r="J749" i="7"/>
  <c r="J371" i="7"/>
  <c r="J372" i="7"/>
  <c r="J373" i="7"/>
  <c r="J374" i="7"/>
  <c r="J375" i="7"/>
  <c r="J376" i="7"/>
  <c r="J377" i="7"/>
  <c r="J378" i="7"/>
  <c r="J379" i="7"/>
  <c r="J380" i="7"/>
  <c r="J381" i="7"/>
  <c r="J382" i="7"/>
  <c r="J383" i="7"/>
  <c r="J384" i="7"/>
  <c r="J545" i="7"/>
  <c r="J546" i="7"/>
  <c r="J547" i="7"/>
  <c r="J548" i="7"/>
  <c r="J549" i="7"/>
  <c r="J550" i="7"/>
  <c r="J551" i="7"/>
  <c r="J552" i="7"/>
  <c r="J553" i="7"/>
  <c r="J554" i="7"/>
  <c r="J544" i="7"/>
  <c r="J370"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402" i="7"/>
  <c r="J515" i="7"/>
  <c r="J800" i="7"/>
  <c r="J801" i="7"/>
  <c r="J802" i="7"/>
  <c r="J803" i="7"/>
  <c r="J804" i="7"/>
  <c r="J289" i="7"/>
  <c r="J527" i="7" l="1"/>
  <c r="J519" i="7"/>
  <c r="J387" i="7"/>
  <c r="J265" i="7"/>
  <c r="J748" i="7"/>
  <c r="J751" i="7"/>
  <c r="J750" i="7"/>
  <c r="J310" i="7"/>
  <c r="J309" i="7"/>
  <c r="J294" i="7"/>
  <c r="J799" i="7"/>
  <c r="J313" i="7"/>
  <c r="J305" i="7"/>
  <c r="J302" i="7"/>
  <c r="J297" i="7"/>
  <c r="J308" i="7"/>
  <c r="J414" i="7"/>
  <c r="J293" i="7"/>
  <c r="J301" i="7"/>
  <c r="J418" i="7"/>
  <c r="J307" i="7"/>
  <c r="J399" i="7"/>
  <c r="J433" i="7"/>
  <c r="J425" i="7"/>
  <c r="J311" i="7"/>
  <c r="J306" i="7"/>
  <c r="J290" i="7"/>
  <c r="J298" i="7"/>
  <c r="J303" i="7"/>
  <c r="J295" i="7"/>
  <c r="J292" i="7"/>
  <c r="J300" i="7"/>
  <c r="J424" i="7"/>
  <c r="J529" i="7"/>
  <c r="J299" i="7"/>
  <c r="J291" i="7"/>
  <c r="J296" i="7"/>
  <c r="J304" i="7"/>
  <c r="J312" i="7"/>
  <c r="J393" i="7"/>
  <c r="J417" i="7"/>
  <c r="J435" i="7"/>
  <c r="J434" i="7"/>
  <c r="J432" i="7"/>
  <c r="J431" i="7"/>
  <c r="J430" i="7"/>
  <c r="J429" i="7"/>
  <c r="J428" i="7"/>
  <c r="J427" i="7"/>
  <c r="J426" i="7"/>
  <c r="J423" i="7"/>
  <c r="J422" i="7"/>
  <c r="J421" i="7"/>
  <c r="J420" i="7"/>
  <c r="J419" i="7"/>
  <c r="J416" i="7"/>
  <c r="J415" i="7"/>
  <c r="J404" i="7"/>
  <c r="J403" i="7"/>
  <c r="J530" i="7"/>
  <c r="J391" i="7"/>
  <c r="J269" i="7"/>
  <c r="J270" i="7"/>
  <c r="J287" i="7"/>
  <c r="J520" i="7"/>
  <c r="J518" i="7"/>
  <c r="J526" i="7"/>
  <c r="J401" i="7"/>
  <c r="J525" i="7"/>
  <c r="J273" i="7"/>
  <c r="J524" i="7"/>
  <c r="J517" i="7"/>
  <c r="J521" i="7"/>
  <c r="J266" i="7"/>
  <c r="J274" i="7"/>
  <c r="J267" i="7"/>
  <c r="J275" i="7"/>
  <c r="J394" i="7"/>
  <c r="J268" i="7"/>
  <c r="J276" i="7"/>
  <c r="J396" i="7"/>
  <c r="J389" i="7"/>
  <c r="J397" i="7"/>
  <c r="J388" i="7"/>
  <c r="J390" i="7"/>
  <c r="J398" i="7"/>
  <c r="J395" i="7"/>
  <c r="J386" i="7"/>
  <c r="J392" i="7"/>
  <c r="J400" i="7"/>
  <c r="J277" i="7"/>
  <c r="J264" i="7"/>
  <c r="J516" i="7"/>
  <c r="J528" i="7"/>
  <c r="J523" i="7"/>
  <c r="J798" i="7"/>
  <c r="J522" i="7"/>
  <c r="J776" i="7"/>
  <c r="J775" i="7"/>
  <c r="J288" i="7"/>
  <c r="J271" i="7"/>
  <c r="J272" i="7"/>
  <c r="J326" i="7"/>
  <c r="J327" i="7"/>
  <c r="J328" i="7"/>
  <c r="J329" i="7"/>
  <c r="J330" i="7"/>
  <c r="J331" i="7"/>
  <c r="J332" i="7"/>
  <c r="J333" i="7"/>
  <c r="J334" i="7"/>
  <c r="J335" i="7"/>
  <c r="J336" i="7"/>
  <c r="J337" i="7"/>
  <c r="J338" i="7"/>
  <c r="J339" i="7"/>
  <c r="J340" i="7"/>
  <c r="J341" i="7"/>
  <c r="J342" i="7"/>
  <c r="J343" i="7"/>
  <c r="J344" i="7"/>
  <c r="J345" i="7"/>
  <c r="J346" i="7"/>
  <c r="J355" i="7"/>
  <c r="J356" i="7"/>
  <c r="J357" i="7"/>
  <c r="J358" i="7"/>
  <c r="J319" i="7"/>
  <c r="J320" i="7"/>
  <c r="J321" i="7"/>
  <c r="J322" i="7"/>
  <c r="J323" i="7"/>
  <c r="J324" i="7"/>
  <c r="J325" i="7"/>
  <c r="J359" i="7"/>
  <c r="J360" i="7"/>
  <c r="J361" i="7"/>
  <c r="J316" i="7"/>
  <c r="J317" i="7"/>
  <c r="J318" i="7"/>
  <c r="J362" i="7"/>
  <c r="J363" i="7"/>
  <c r="J364" i="7"/>
  <c r="J365" i="7"/>
  <c r="J366" i="7"/>
  <c r="J367" i="7"/>
  <c r="J368" i="7"/>
  <c r="J369" i="7"/>
  <c r="J160" i="7"/>
  <c r="J260" i="7" l="1"/>
  <c r="J259" i="7"/>
  <c r="J247" i="7"/>
  <c r="J246" i="7"/>
  <c r="J244" i="7"/>
  <c r="J243" i="7"/>
  <c r="J242" i="7"/>
  <c r="J241" i="7"/>
  <c r="J240" i="7"/>
  <c r="J235" i="7"/>
  <c r="J233" i="7"/>
  <c r="J232" i="7"/>
  <c r="J224" i="7"/>
  <c r="J222" i="7"/>
  <c r="J221" i="7"/>
  <c r="J213" i="7"/>
  <c r="J162" i="7"/>
  <c r="I969" i="7" s="1"/>
  <c r="J159" i="7"/>
  <c r="J158" i="7"/>
  <c r="J153" i="7"/>
  <c r="J151" i="7"/>
  <c r="J150" i="7"/>
  <c r="J149" i="7"/>
  <c r="J137" i="7"/>
  <c r="I968" i="7" l="1"/>
  <c r="I973" i="7"/>
  <c r="I971" i="7"/>
  <c r="I970" i="7"/>
  <c r="I972" i="7"/>
  <c r="F114" i="12"/>
  <c r="C56" i="2"/>
  <c r="J747" i="7"/>
  <c r="J760" i="7"/>
  <c r="J761" i="7"/>
  <c r="J762" i="7"/>
  <c r="J763" i="7"/>
  <c r="J764" i="7"/>
  <c r="J765" i="7"/>
  <c r="J766" i="7"/>
  <c r="J767" i="7"/>
  <c r="J770" i="7"/>
  <c r="J771" i="7"/>
  <c r="J773" i="7"/>
  <c r="J774" i="7"/>
  <c r="J823" i="7"/>
  <c r="J826" i="7"/>
  <c r="J836" i="7"/>
  <c r="J837" i="7"/>
  <c r="J315" i="7"/>
  <c r="J437" i="7"/>
  <c r="J465" i="7"/>
  <c r="J466" i="7"/>
  <c r="J468" i="7"/>
  <c r="J493" i="7"/>
  <c r="J494" i="7"/>
  <c r="J495" i="7"/>
  <c r="J496" i="7"/>
  <c r="J497" i="7"/>
  <c r="J499" i="7"/>
  <c r="J500" i="7"/>
  <c r="J501" i="7"/>
  <c r="J509" i="7"/>
  <c r="J510" i="7"/>
  <c r="J511" i="7"/>
  <c r="J512" i="7"/>
  <c r="J513" i="7"/>
  <c r="J558" i="7"/>
  <c r="J565" i="7"/>
  <c r="J566" i="7"/>
  <c r="J567" i="7"/>
  <c r="J569" i="7"/>
  <c r="J576" i="7"/>
  <c r="J577" i="7"/>
  <c r="J578" i="7"/>
  <c r="J580" i="7"/>
  <c r="J585" i="7"/>
  <c r="J586" i="7"/>
  <c r="J587" i="7"/>
  <c r="J589" i="7"/>
  <c r="J594" i="7"/>
  <c r="J595" i="7"/>
  <c r="J596" i="7"/>
  <c r="J598" i="7"/>
  <c r="J603" i="7"/>
  <c r="J604" i="7"/>
  <c r="J605" i="7"/>
  <c r="J607" i="7"/>
  <c r="J613" i="7"/>
  <c r="J620" i="7"/>
  <c r="J622" i="7"/>
  <c r="J635" i="7"/>
  <c r="J645" i="7"/>
  <c r="J646" i="7"/>
  <c r="J647" i="7"/>
  <c r="J648" i="7"/>
  <c r="J649" i="7"/>
  <c r="J651" i="7"/>
  <c r="J652" i="7"/>
  <c r="J664" i="7"/>
  <c r="J665" i="7"/>
  <c r="J667" i="7"/>
  <c r="J679" i="7"/>
  <c r="J680" i="7"/>
  <c r="J681" i="7"/>
  <c r="J683" i="7"/>
  <c r="J694" i="7"/>
  <c r="J695" i="7"/>
  <c r="J696" i="7"/>
  <c r="J697" i="7"/>
  <c r="J699" i="7"/>
  <c r="J711" i="7"/>
  <c r="J712" i="7"/>
  <c r="J713" i="7"/>
  <c r="J715" i="7"/>
  <c r="J727" i="7"/>
  <c r="J728" i="7"/>
  <c r="J729" i="7"/>
  <c r="J731" i="7"/>
  <c r="J743" i="7"/>
  <c r="J841" i="7"/>
  <c r="J854" i="7"/>
  <c r="J855" i="7"/>
  <c r="J858" i="7"/>
  <c r="J873" i="7"/>
  <c r="J876" i="7"/>
  <c r="J885" i="7"/>
  <c r="J888" i="7"/>
  <c r="C31" i="4"/>
  <c r="C32" i="4" s="1"/>
  <c r="C39" i="4"/>
  <c r="C104" i="4"/>
  <c r="C109" i="4"/>
  <c r="C112" i="4" s="1"/>
  <c r="C118" i="4" s="1"/>
  <c r="C123" i="4"/>
  <c r="C124" i="4" s="1"/>
  <c r="C72" i="4"/>
  <c r="C74" i="4"/>
  <c r="C136" i="4" s="1"/>
  <c r="C163" i="4"/>
  <c r="C164" i="4"/>
  <c r="C75" i="4"/>
  <c r="C76" i="4"/>
  <c r="C88" i="4"/>
  <c r="C137" i="4"/>
  <c r="F80" i="4"/>
  <c r="M75" i="4"/>
  <c r="M76" i="4"/>
  <c r="E44" i="4"/>
  <c r="M39" i="4"/>
  <c r="M31" i="4"/>
  <c r="M32" i="4" s="1"/>
  <c r="D39" i="4"/>
  <c r="D31" i="4"/>
  <c r="D32" i="4" s="1"/>
  <c r="E39" i="4"/>
  <c r="E31" i="4"/>
  <c r="E32" i="4" s="1"/>
  <c r="E36" i="4" s="1"/>
  <c r="F39" i="4"/>
  <c r="F31" i="4"/>
  <c r="F32" i="4" s="1"/>
  <c r="F36" i="4" s="1"/>
  <c r="G39" i="4"/>
  <c r="G31" i="4"/>
  <c r="G32" i="4" s="1"/>
  <c r="G36" i="4" s="1"/>
  <c r="H39" i="4"/>
  <c r="H31" i="4"/>
  <c r="H32" i="4" s="1"/>
  <c r="I39" i="4"/>
  <c r="I31" i="4"/>
  <c r="I32" i="4" s="1"/>
  <c r="D104" i="4"/>
  <c r="D109" i="4"/>
  <c r="D112" i="4" s="1"/>
  <c r="D118" i="4" s="1"/>
  <c r="D127" i="4"/>
  <c r="D123" i="4"/>
  <c r="D124" i="4" s="1"/>
  <c r="D72" i="4"/>
  <c r="D74" i="4"/>
  <c r="D136" i="4" s="1"/>
  <c r="D80" i="4"/>
  <c r="D164" i="4"/>
  <c r="D75" i="4"/>
  <c r="D76" i="4"/>
  <c r="E104" i="4"/>
  <c r="E109" i="4"/>
  <c r="E112" i="4" s="1"/>
  <c r="E118" i="4" s="1"/>
  <c r="E127" i="4"/>
  <c r="E123" i="4"/>
  <c r="E124" i="4" s="1"/>
  <c r="E135" i="4" s="1"/>
  <c r="E72" i="4"/>
  <c r="E74" i="4"/>
  <c r="E136" i="4" s="1"/>
  <c r="E163" i="4"/>
  <c r="E164" i="4"/>
  <c r="E75" i="4"/>
  <c r="E76" i="4"/>
  <c r="F104" i="4"/>
  <c r="F109" i="4"/>
  <c r="F112" i="4" s="1"/>
  <c r="F127" i="4"/>
  <c r="F123" i="4"/>
  <c r="F124" i="4" s="1"/>
  <c r="F72" i="4"/>
  <c r="F74" i="4"/>
  <c r="F136" i="4" s="1"/>
  <c r="F164" i="4"/>
  <c r="F75" i="4"/>
  <c r="F76" i="4"/>
  <c r="G109" i="4"/>
  <c r="G127" i="4"/>
  <c r="G123" i="4"/>
  <c r="G124" i="4" s="1"/>
  <c r="G135" i="4" s="1"/>
  <c r="G72" i="4"/>
  <c r="G74" i="4"/>
  <c r="G136" i="4" s="1"/>
  <c r="G163" i="4"/>
  <c r="G164" i="4"/>
  <c r="G75" i="4"/>
  <c r="G76" i="4"/>
  <c r="H109" i="4"/>
  <c r="H127" i="4"/>
  <c r="H123" i="4"/>
  <c r="H124" i="4" s="1"/>
  <c r="H135" i="4" s="1"/>
  <c r="H72" i="4"/>
  <c r="H74" i="4"/>
  <c r="H136" i="4" s="1"/>
  <c r="H164" i="4"/>
  <c r="H75" i="4"/>
  <c r="H76" i="4"/>
  <c r="J109" i="4"/>
  <c r="J127" i="4"/>
  <c r="J123" i="4"/>
  <c r="J124" i="4" s="1"/>
  <c r="J135" i="4" s="1"/>
  <c r="I72" i="4"/>
  <c r="I74" i="4"/>
  <c r="J136" i="4" s="1"/>
  <c r="K109" i="4"/>
  <c r="K127" i="4"/>
  <c r="K123" i="4"/>
  <c r="K124" i="4" s="1"/>
  <c r="K135" i="4" s="1"/>
  <c r="L109" i="4"/>
  <c r="L127" i="4"/>
  <c r="L123" i="4"/>
  <c r="L124" i="4" s="1"/>
  <c r="L135" i="4" s="1"/>
  <c r="I163" i="4"/>
  <c r="I75" i="4"/>
  <c r="I76" i="4"/>
  <c r="N109" i="4"/>
  <c r="N127" i="4"/>
  <c r="N123" i="4"/>
  <c r="N124" i="4" s="1"/>
  <c r="M72" i="4"/>
  <c r="M74" i="4"/>
  <c r="P136" i="4" s="1"/>
  <c r="O109" i="4"/>
  <c r="O127" i="4"/>
  <c r="P109" i="4"/>
  <c r="P127" i="4"/>
  <c r="C298" i="4"/>
  <c r="C216" i="4"/>
  <c r="C193" i="4"/>
  <c r="C196" i="4" s="1"/>
  <c r="C197" i="4" s="1"/>
  <c r="C299" i="4" s="1"/>
  <c r="AY76" i="13" s="1"/>
  <c r="F298" i="4"/>
  <c r="E298" i="4"/>
  <c r="D298" i="4"/>
  <c r="C58" i="2"/>
  <c r="G24" i="4" s="1"/>
  <c r="C95" i="2"/>
  <c r="C96" i="2" s="1"/>
  <c r="C26" i="2"/>
  <c r="E80" i="4"/>
  <c r="C78" i="2"/>
  <c r="P123" i="4"/>
  <c r="P124" i="4" s="1"/>
  <c r="P135" i="4" s="1"/>
  <c r="M216" i="4"/>
  <c r="M331" i="4" s="1"/>
  <c r="D216" i="4"/>
  <c r="E216" i="4"/>
  <c r="E193" i="4"/>
  <c r="E196" i="4" s="1"/>
  <c r="E197" i="4" s="1"/>
  <c r="E299" i="4" s="1"/>
  <c r="BC76" i="13" s="1"/>
  <c r="F216" i="4"/>
  <c r="G216" i="4"/>
  <c r="G294" i="4" s="1"/>
  <c r="BG71" i="13" s="1"/>
  <c r="G193" i="4"/>
  <c r="G196" i="4" s="1"/>
  <c r="G197" i="4" s="1"/>
  <c r="G299" i="4" s="1"/>
  <c r="BG76" i="13" s="1"/>
  <c r="I216" i="4"/>
  <c r="I331" i="4" s="1"/>
  <c r="N137" i="4"/>
  <c r="N138" i="4" s="1"/>
  <c r="O137" i="4"/>
  <c r="P137" i="4"/>
  <c r="P138" i="4" s="1"/>
  <c r="D137" i="4"/>
  <c r="D138" i="4" s="1"/>
  <c r="E137" i="4"/>
  <c r="E138" i="4" s="1"/>
  <c r="E139" i="4" s="1"/>
  <c r="F137" i="4"/>
  <c r="F138" i="4" s="1"/>
  <c r="F139" i="4" s="1"/>
  <c r="G137" i="4"/>
  <c r="H137" i="4"/>
  <c r="H138" i="4" s="1"/>
  <c r="J137" i="4"/>
  <c r="J138" i="4" s="1"/>
  <c r="K137" i="4"/>
  <c r="K138" i="4" s="1"/>
  <c r="L137" i="4"/>
  <c r="K3" i="6"/>
  <c r="J3" i="6"/>
  <c r="I3" i="6"/>
  <c r="H3" i="6"/>
  <c r="G3" i="6"/>
  <c r="F3" i="6"/>
  <c r="E3" i="6"/>
  <c r="D3" i="6"/>
  <c r="J2" i="6"/>
  <c r="H289" i="4"/>
  <c r="F289" i="4"/>
  <c r="D289" i="4"/>
  <c r="D2" i="6" s="1"/>
  <c r="P221" i="4"/>
  <c r="O221" i="4"/>
  <c r="N221" i="4"/>
  <c r="L221" i="4"/>
  <c r="K221" i="4"/>
  <c r="J221" i="4"/>
  <c r="I289" i="4"/>
  <c r="I80" i="4"/>
  <c r="I193" i="4"/>
  <c r="I196" i="4" s="1"/>
  <c r="I197" i="4" s="1"/>
  <c r="I299" i="4" s="1"/>
  <c r="BK76" i="13" s="1"/>
  <c r="G289" i="4"/>
  <c r="G80" i="4"/>
  <c r="E289" i="4"/>
  <c r="E105" i="4"/>
  <c r="C289" i="4"/>
  <c r="C105" i="4"/>
  <c r="D105" i="4"/>
  <c r="J919" i="7"/>
  <c r="J905" i="7"/>
  <c r="J922" i="7"/>
  <c r="J923" i="7"/>
  <c r="J944" i="7"/>
  <c r="J951" i="7"/>
  <c r="J954" i="7"/>
  <c r="M289" i="4"/>
  <c r="M80" i="4"/>
  <c r="H80" i="4"/>
  <c r="F105" i="4"/>
  <c r="O44" i="17" l="1"/>
  <c r="BE75" i="13"/>
  <c r="AY75" i="13"/>
  <c r="L44" i="17"/>
  <c r="E81" i="4"/>
  <c r="E84" i="4" s="1"/>
  <c r="E83" i="4"/>
  <c r="D81" i="4"/>
  <c r="D83" i="4"/>
  <c r="F81" i="4"/>
  <c r="G84" i="4" s="1"/>
  <c r="M83" i="4"/>
  <c r="M87" i="4" s="1"/>
  <c r="I83" i="4"/>
  <c r="I87" i="4" s="1"/>
  <c r="H83" i="4"/>
  <c r="H87" i="4" s="1"/>
  <c r="G83" i="4"/>
  <c r="F83" i="4"/>
  <c r="BC75" i="13"/>
  <c r="N44" i="17"/>
  <c r="M44" i="17"/>
  <c r="BA75" i="13"/>
  <c r="C34" i="6"/>
  <c r="AW39" i="13" s="1"/>
  <c r="N43" i="13"/>
  <c r="N42" i="13"/>
  <c r="N41" i="13"/>
  <c r="N40" i="13"/>
  <c r="D84" i="4"/>
  <c r="D88" i="4" s="1"/>
  <c r="D232" i="4" s="1"/>
  <c r="I20" i="4"/>
  <c r="I21" i="4" s="1"/>
  <c r="I22" i="4" s="1"/>
  <c r="C20" i="4"/>
  <c r="I19" i="4"/>
  <c r="I27" i="4" s="1"/>
  <c r="I28" i="4" s="1"/>
  <c r="C19" i="4"/>
  <c r="C27" i="4" s="1"/>
  <c r="H20" i="4"/>
  <c r="H21" i="4" s="1"/>
  <c r="H22" i="4" s="1"/>
  <c r="H19" i="4"/>
  <c r="H27" i="4" s="1"/>
  <c r="H28" i="4" s="1"/>
  <c r="G20" i="4"/>
  <c r="G19" i="4"/>
  <c r="G27" i="4" s="1"/>
  <c r="G28" i="4" s="1"/>
  <c r="F20" i="4"/>
  <c r="F19" i="4"/>
  <c r="F27" i="4" s="1"/>
  <c r="F28" i="4" s="1"/>
  <c r="E20" i="4"/>
  <c r="E21" i="4" s="1"/>
  <c r="E22" i="4" s="1"/>
  <c r="E19" i="4"/>
  <c r="E27" i="4" s="1"/>
  <c r="E33" i="4" s="1"/>
  <c r="D19" i="4"/>
  <c r="D27" i="4" s="1"/>
  <c r="D33" i="4" s="1"/>
  <c r="D58" i="4" s="1"/>
  <c r="D20" i="4"/>
  <c r="O121" i="4"/>
  <c r="O123" i="4" s="1"/>
  <c r="O124" i="4" s="1"/>
  <c r="O135" i="4" s="1"/>
  <c r="J972" i="7"/>
  <c r="T13" i="13"/>
  <c r="J970" i="7"/>
  <c r="BG13" i="13"/>
  <c r="J971" i="7"/>
  <c r="J973" i="7"/>
  <c r="J968" i="7"/>
  <c r="J969" i="7"/>
  <c r="T15" i="13"/>
  <c r="U16" i="13"/>
  <c r="U17" i="13"/>
  <c r="U8" i="13"/>
  <c r="G15" i="17" s="1"/>
  <c r="T9" i="13"/>
  <c r="T14" i="13"/>
  <c r="T10" i="13"/>
  <c r="T11" i="13"/>
  <c r="T12" i="13"/>
  <c r="F21" i="4"/>
  <c r="F22" i="4" s="1"/>
  <c r="H15" i="4"/>
  <c r="H17" i="4" s="1"/>
  <c r="C15" i="4"/>
  <c r="C17" i="4" s="1"/>
  <c r="D21" i="4"/>
  <c r="D22" i="4" s="1"/>
  <c r="G15" i="4"/>
  <c r="G17" i="4" s="1"/>
  <c r="C21" i="4"/>
  <c r="C22" i="4" s="1"/>
  <c r="F15" i="4"/>
  <c r="F17" i="4" s="1"/>
  <c r="E15" i="4"/>
  <c r="E17" i="4" s="1"/>
  <c r="I15" i="4"/>
  <c r="I17" i="4" s="1"/>
  <c r="G21" i="4"/>
  <c r="G22" i="4" s="1"/>
  <c r="D15" i="4"/>
  <c r="D17" i="4" s="1"/>
  <c r="M15" i="4"/>
  <c r="M17" i="4" s="1"/>
  <c r="H112" i="12"/>
  <c r="E115" i="12"/>
  <c r="I115" i="12" s="1"/>
  <c r="C138" i="4"/>
  <c r="C139" i="4" s="1"/>
  <c r="C135" i="4"/>
  <c r="O140" i="4"/>
  <c r="N139" i="4"/>
  <c r="I81" i="4"/>
  <c r="E140" i="4"/>
  <c r="H140" i="4"/>
  <c r="D140" i="4"/>
  <c r="G140" i="4"/>
  <c r="F140" i="4"/>
  <c r="K139" i="4"/>
  <c r="K140" i="4"/>
  <c r="M20" i="4"/>
  <c r="M21" i="4" s="1"/>
  <c r="M22" i="4" s="1"/>
  <c r="F87" i="4"/>
  <c r="H81" i="4"/>
  <c r="G87" i="4"/>
  <c r="M81" i="4"/>
  <c r="G81" i="4"/>
  <c r="J139" i="4"/>
  <c r="H216" i="4"/>
  <c r="H331" i="4" s="1"/>
  <c r="H193" i="4"/>
  <c r="H196" i="4" s="1"/>
  <c r="H197" i="4" s="1"/>
  <c r="H299" i="4" s="1"/>
  <c r="BI76" i="13" s="1"/>
  <c r="D193" i="4"/>
  <c r="D196" i="4" s="1"/>
  <c r="D197" i="4" s="1"/>
  <c r="D299" i="4" s="1"/>
  <c r="BA76" i="13" s="1"/>
  <c r="M193" i="4"/>
  <c r="M196" i="4" s="1"/>
  <c r="M197" i="4" s="1"/>
  <c r="M299" i="4" s="1"/>
  <c r="BM76" i="13" s="1"/>
  <c r="L140" i="4"/>
  <c r="P140" i="4"/>
  <c r="N140" i="4"/>
  <c r="J140" i="4"/>
  <c r="F193" i="4"/>
  <c r="F196" i="4" s="1"/>
  <c r="F197" i="4" s="1"/>
  <c r="F299" i="4" s="1"/>
  <c r="BE76" i="13" s="1"/>
  <c r="F2" i="6"/>
  <c r="F99" i="4"/>
  <c r="F101" i="4" s="1"/>
  <c r="M99" i="4"/>
  <c r="M101" i="4" s="1"/>
  <c r="M44" i="4"/>
  <c r="D87" i="4"/>
  <c r="K136" i="4"/>
  <c r="N136" i="4"/>
  <c r="I40" i="4"/>
  <c r="I41" i="4" s="1"/>
  <c r="F40" i="4"/>
  <c r="F41" i="4" s="1"/>
  <c r="M19" i="4"/>
  <c r="M27" i="4" s="1"/>
  <c r="M28" i="4" s="1"/>
  <c r="G204" i="4"/>
  <c r="G224" i="4" s="1"/>
  <c r="F44" i="4"/>
  <c r="H44" i="4"/>
  <c r="M40" i="4"/>
  <c r="M41" i="4" s="1"/>
  <c r="I44" i="4"/>
  <c r="E24" i="4"/>
  <c r="H24" i="4"/>
  <c r="G40" i="4"/>
  <c r="G41" i="4" s="1"/>
  <c r="D44" i="4"/>
  <c r="C24" i="4"/>
  <c r="G44" i="4"/>
  <c r="M24" i="4"/>
  <c r="C40" i="4"/>
  <c r="C41" i="4" s="1"/>
  <c r="F24" i="4"/>
  <c r="E40" i="4"/>
  <c r="E41" i="4" s="1"/>
  <c r="C44" i="4"/>
  <c r="I24" i="4"/>
  <c r="H40" i="4"/>
  <c r="H41" i="4" s="1"/>
  <c r="D24" i="4"/>
  <c r="E165" i="4"/>
  <c r="E166" i="4" s="1"/>
  <c r="E168" i="4" s="1"/>
  <c r="C165" i="4"/>
  <c r="C166" i="4" s="1"/>
  <c r="C168" i="4" s="1"/>
  <c r="H2" i="6"/>
  <c r="I204" i="4"/>
  <c r="I221" i="4" s="1"/>
  <c r="L136" i="4"/>
  <c r="O136" i="4"/>
  <c r="E99" i="4"/>
  <c r="E101" i="4" s="1"/>
  <c r="D113" i="4"/>
  <c r="D203" i="4" s="1"/>
  <c r="F165" i="4"/>
  <c r="F166" i="4" s="1"/>
  <c r="G99" i="4"/>
  <c r="G101" i="4" s="1"/>
  <c r="G165" i="4"/>
  <c r="G166" i="4" s="1"/>
  <c r="G168" i="4" s="1"/>
  <c r="I164" i="4"/>
  <c r="I165" i="4" s="1"/>
  <c r="I166" i="4" s="1"/>
  <c r="C99" i="4"/>
  <c r="C101" i="4" s="1"/>
  <c r="E87" i="4"/>
  <c r="I99" i="4"/>
  <c r="I101" i="4" s="1"/>
  <c r="H165" i="4"/>
  <c r="H166" i="4" s="1"/>
  <c r="H168" i="4" s="1"/>
  <c r="D139" i="4"/>
  <c r="I294" i="4"/>
  <c r="BK71" i="13" s="1"/>
  <c r="BK13" i="13" s="1"/>
  <c r="D99" i="4"/>
  <c r="D101" i="4" s="1"/>
  <c r="H139" i="4"/>
  <c r="H99" i="4"/>
  <c r="H101" i="4" s="1"/>
  <c r="D165" i="4"/>
  <c r="D166" i="4" s="1"/>
  <c r="G331" i="4"/>
  <c r="F135" i="4"/>
  <c r="L138" i="4"/>
  <c r="L139" i="4" s="1"/>
  <c r="G138" i="4"/>
  <c r="G139" i="4" s="1"/>
  <c r="M294" i="4"/>
  <c r="BM71" i="13" s="1"/>
  <c r="F113" i="4"/>
  <c r="M164" i="4"/>
  <c r="M165" i="4" s="1"/>
  <c r="M166" i="4" s="1"/>
  <c r="C36" i="4"/>
  <c r="D135" i="4"/>
  <c r="I36" i="4"/>
  <c r="H36" i="4"/>
  <c r="E331" i="4"/>
  <c r="E294" i="4"/>
  <c r="BC71" i="13" s="1"/>
  <c r="BC13" i="13" s="1"/>
  <c r="P139" i="4"/>
  <c r="F331" i="4"/>
  <c r="F294" i="4"/>
  <c r="BE71" i="13" s="1"/>
  <c r="D294" i="4"/>
  <c r="BA71" i="13" s="1"/>
  <c r="D331" i="4"/>
  <c r="C331" i="4"/>
  <c r="C294" i="4"/>
  <c r="AY71" i="13" s="1"/>
  <c r="AY13" i="13" s="1"/>
  <c r="M36" i="4"/>
  <c r="O138" i="4"/>
  <c r="O139" i="4" s="1"/>
  <c r="E88" i="4"/>
  <c r="E232" i="4" s="1"/>
  <c r="E113" i="4"/>
  <c r="D36" i="4"/>
  <c r="C232" i="4"/>
  <c r="N135" i="4"/>
  <c r="F118" i="4"/>
  <c r="D40" i="4"/>
  <c r="D41" i="4" s="1"/>
  <c r="C89" i="2"/>
  <c r="E204" i="4"/>
  <c r="C204" i="4"/>
  <c r="C113" i="4"/>
  <c r="H84" i="4" l="1"/>
  <c r="H88" i="4" s="1"/>
  <c r="H92" i="4" s="1"/>
  <c r="G88" i="4"/>
  <c r="G92" i="4" s="1"/>
  <c r="I84" i="4"/>
  <c r="I88" i="4" s="1"/>
  <c r="F84" i="4"/>
  <c r="F88" i="4" s="1"/>
  <c r="F232" i="4" s="1"/>
  <c r="M84" i="4"/>
  <c r="M88" i="4" s="1"/>
  <c r="C39" i="13"/>
  <c r="G44" i="13" s="1"/>
  <c r="C5" i="17" s="1"/>
  <c r="AW12" i="13"/>
  <c r="K25" i="17" s="1"/>
  <c r="C28" i="4"/>
  <c r="C33" i="4"/>
  <c r="D233" i="4"/>
  <c r="D301" i="4" s="1"/>
  <c r="BA78" i="13" s="1"/>
  <c r="BA14" i="13" s="1"/>
  <c r="M27" i="17" s="1"/>
  <c r="D311" i="4"/>
  <c r="CF69" i="13" s="1"/>
  <c r="C29" i="4"/>
  <c r="C30" i="4" s="1"/>
  <c r="C34" i="4" s="1"/>
  <c r="C37" i="4" s="1"/>
  <c r="C38" i="4" s="1"/>
  <c r="C42" i="4" s="1"/>
  <c r="C43" i="4" s="1"/>
  <c r="C46" i="4" s="1"/>
  <c r="C100" i="4"/>
  <c r="C106" i="4"/>
  <c r="C107" i="4" s="1"/>
  <c r="C10" i="4" s="1"/>
  <c r="CD81" i="13" s="1"/>
  <c r="E106" i="4"/>
  <c r="E107" i="4" s="1"/>
  <c r="F106" i="4"/>
  <c r="F107" i="4" s="1"/>
  <c r="AW10" i="13"/>
  <c r="K23" i="17" s="1"/>
  <c r="AW14" i="13"/>
  <c r="K27" i="17" s="1"/>
  <c r="BM13" i="13"/>
  <c r="S26" i="17" s="1"/>
  <c r="BA13" i="13"/>
  <c r="M43" i="17" s="1"/>
  <c r="BE13" i="13"/>
  <c r="O43" i="17" s="1"/>
  <c r="N43" i="17"/>
  <c r="N26" i="17"/>
  <c r="R43" i="17"/>
  <c r="R26" i="17"/>
  <c r="L43" i="17"/>
  <c r="L26" i="17"/>
  <c r="P26" i="17"/>
  <c r="P43" i="17"/>
  <c r="G17" i="17"/>
  <c r="AW16" i="13"/>
  <c r="K29" i="17" s="1"/>
  <c r="AW15" i="13"/>
  <c r="K28" i="17" s="1"/>
  <c r="G16" i="17"/>
  <c r="AW11" i="13"/>
  <c r="K24" i="17" s="1"/>
  <c r="AW13" i="13"/>
  <c r="K26" i="17" s="1"/>
  <c r="AW9" i="13"/>
  <c r="V48" i="17" s="1"/>
  <c r="U18" i="13"/>
  <c r="D28" i="4"/>
  <c r="L92" i="4"/>
  <c r="L91" i="4"/>
  <c r="L160" i="4"/>
  <c r="L238" i="4"/>
  <c r="I312" i="4" s="1"/>
  <c r="K246" i="4"/>
  <c r="K91" i="4"/>
  <c r="K92" i="4"/>
  <c r="K160" i="4"/>
  <c r="D29" i="4"/>
  <c r="D30" i="4" s="1"/>
  <c r="D34" i="4" s="1"/>
  <c r="D35" i="4" s="1"/>
  <c r="D57" i="4" s="1"/>
  <c r="M272" i="4"/>
  <c r="M273" i="4" s="1"/>
  <c r="M276" i="4" s="1"/>
  <c r="D272" i="4"/>
  <c r="D273" i="4" s="1"/>
  <c r="D276" i="4" s="1"/>
  <c r="E272" i="4"/>
  <c r="E273" i="4" s="1"/>
  <c r="E276" i="4" s="1"/>
  <c r="F272" i="4"/>
  <c r="F273" i="4" s="1"/>
  <c r="F276" i="4" s="1"/>
  <c r="I272" i="4"/>
  <c r="I273" i="4" s="1"/>
  <c r="I276" i="4" s="1"/>
  <c r="G272" i="4"/>
  <c r="G273" i="4" s="1"/>
  <c r="G276" i="4" s="1"/>
  <c r="H272" i="4"/>
  <c r="H273" i="4" s="1"/>
  <c r="H276" i="4" s="1"/>
  <c r="C272" i="4"/>
  <c r="C273" i="4" s="1"/>
  <c r="C276" i="4" s="1"/>
  <c r="C5" i="6"/>
  <c r="C82" i="4"/>
  <c r="C43" i="6"/>
  <c r="C42" i="6"/>
  <c r="H33" i="4"/>
  <c r="H58" i="4" s="1"/>
  <c r="H29" i="4"/>
  <c r="H30" i="4" s="1"/>
  <c r="H34" i="4" s="1"/>
  <c r="H37" i="4" s="1"/>
  <c r="H38" i="4" s="1"/>
  <c r="H42" i="4" s="1"/>
  <c r="H43" i="4" s="1"/>
  <c r="H46" i="4" s="1"/>
  <c r="E116" i="12"/>
  <c r="H115" i="12"/>
  <c r="G115" i="12"/>
  <c r="F115" i="12"/>
  <c r="H82" i="4"/>
  <c r="I265" i="4"/>
  <c r="I266" i="4" s="1"/>
  <c r="M280" i="4"/>
  <c r="M265" i="4"/>
  <c r="M266" i="4" s="1"/>
  <c r="H265" i="4"/>
  <c r="H266" i="4" s="1"/>
  <c r="E280" i="4"/>
  <c r="D280" i="4"/>
  <c r="F280" i="4"/>
  <c r="D265" i="4"/>
  <c r="D266" i="4" s="1"/>
  <c r="I280" i="4"/>
  <c r="G280" i="4"/>
  <c r="C265" i="4"/>
  <c r="C266" i="4" s="1"/>
  <c r="C280" i="4"/>
  <c r="G265" i="4"/>
  <c r="G266" i="4" s="1"/>
  <c r="H280" i="4"/>
  <c r="F265" i="4"/>
  <c r="F266" i="4" s="1"/>
  <c r="E265" i="4"/>
  <c r="E266" i="4" s="1"/>
  <c r="E28" i="4"/>
  <c r="H294" i="4"/>
  <c r="BI71" i="13" s="1"/>
  <c r="BI13" i="13" s="1"/>
  <c r="I140" i="4"/>
  <c r="I33" i="4"/>
  <c r="I58" i="4" s="1"/>
  <c r="I29" i="4"/>
  <c r="I30" i="4" s="1"/>
  <c r="I34" i="4" s="1"/>
  <c r="E29" i="4"/>
  <c r="E30" i="4" s="1"/>
  <c r="E34" i="4" s="1"/>
  <c r="E35" i="4" s="1"/>
  <c r="E57" i="4" s="1"/>
  <c r="I139" i="4"/>
  <c r="M140" i="4"/>
  <c r="G215" i="4"/>
  <c r="G219" i="4" s="1"/>
  <c r="G221" i="4"/>
  <c r="G33" i="4"/>
  <c r="G58" i="4" s="1"/>
  <c r="M33" i="4"/>
  <c r="M58" i="4" s="1"/>
  <c r="G29" i="4"/>
  <c r="G30" i="4" s="1"/>
  <c r="G34" i="4" s="1"/>
  <c r="G37" i="4" s="1"/>
  <c r="G38" i="4" s="1"/>
  <c r="G42" i="4" s="1"/>
  <c r="G43" i="4" s="1"/>
  <c r="G46" i="4" s="1"/>
  <c r="M29" i="4"/>
  <c r="M30" i="4" s="1"/>
  <c r="M34" i="4" s="1"/>
  <c r="M37" i="4" s="1"/>
  <c r="M38" i="4" s="1"/>
  <c r="M42" i="4" s="1"/>
  <c r="M43" i="4" s="1"/>
  <c r="M46" i="4" s="1"/>
  <c r="F100" i="4"/>
  <c r="F33" i="4"/>
  <c r="F58" i="4" s="1"/>
  <c r="E100" i="4"/>
  <c r="I16" i="4"/>
  <c r="I18" i="4" s="1"/>
  <c r="F29" i="4"/>
  <c r="F30" i="4" s="1"/>
  <c r="F34" i="4" s="1"/>
  <c r="F37" i="4" s="1"/>
  <c r="F38" i="4" s="1"/>
  <c r="F42" i="4" s="1"/>
  <c r="F43" i="4" s="1"/>
  <c r="F46" i="4" s="1"/>
  <c r="E169" i="4"/>
  <c r="C169" i="4"/>
  <c r="M100" i="4"/>
  <c r="G169" i="4"/>
  <c r="G102" i="4"/>
  <c r="G107" i="4" s="1"/>
  <c r="G100" i="4"/>
  <c r="H232" i="4"/>
  <c r="H311" i="4" s="1"/>
  <c r="CN69" i="13" s="1"/>
  <c r="I100" i="4"/>
  <c r="H169" i="4"/>
  <c r="F168" i="4"/>
  <c r="F170" i="4" s="1"/>
  <c r="F169" i="4"/>
  <c r="I168" i="4"/>
  <c r="I170" i="4" s="1"/>
  <c r="I173" i="4" s="1"/>
  <c r="I169" i="4"/>
  <c r="G232" i="4"/>
  <c r="D168" i="4"/>
  <c r="D170" i="4" s="1"/>
  <c r="D169" i="4"/>
  <c r="H102" i="4"/>
  <c r="H107" i="4" s="1"/>
  <c r="H100" i="4"/>
  <c r="D106" i="4"/>
  <c r="D107" i="4" s="1"/>
  <c r="D100" i="4"/>
  <c r="M139" i="4"/>
  <c r="C233" i="4"/>
  <c r="C301" i="4" s="1"/>
  <c r="AY78" i="13" s="1"/>
  <c r="AY14" i="13" s="1"/>
  <c r="C311" i="4"/>
  <c r="CD69" i="13" s="1"/>
  <c r="E58" i="4"/>
  <c r="M168" i="4"/>
  <c r="M170" i="4" s="1"/>
  <c r="M169" i="4"/>
  <c r="E311" i="4"/>
  <c r="CH69" i="13" s="1"/>
  <c r="E233" i="4"/>
  <c r="E301" i="4" s="1"/>
  <c r="BC78" i="13" s="1"/>
  <c r="BC14" i="13" s="1"/>
  <c r="C58" i="4"/>
  <c r="E19" i="6"/>
  <c r="E203" i="4"/>
  <c r="E206" i="4" s="1"/>
  <c r="F203" i="4"/>
  <c r="C16" i="4"/>
  <c r="C18" i="4" s="1"/>
  <c r="H16" i="4"/>
  <c r="H18" i="4" s="1"/>
  <c r="G170" i="4"/>
  <c r="G174" i="4" s="1"/>
  <c r="G82" i="4"/>
  <c r="I82" i="4"/>
  <c r="F82" i="4"/>
  <c r="C170" i="4"/>
  <c r="C174" i="4" s="1"/>
  <c r="C176" i="4" s="1"/>
  <c r="G16" i="4"/>
  <c r="G18" i="4" s="1"/>
  <c r="D82" i="4"/>
  <c r="F16" i="4"/>
  <c r="F18" i="4" s="1"/>
  <c r="E170" i="4"/>
  <c r="E174" i="4" s="1"/>
  <c r="M82" i="4"/>
  <c r="E82" i="4"/>
  <c r="E85" i="4" s="1"/>
  <c r="H170" i="4"/>
  <c r="M16" i="4"/>
  <c r="M18" i="4" s="1"/>
  <c r="D16" i="4"/>
  <c r="D18" i="4" s="1"/>
  <c r="E16" i="4"/>
  <c r="E18" i="4" s="1"/>
  <c r="C221" i="4"/>
  <c r="C224" i="4"/>
  <c r="E224" i="4"/>
  <c r="E221" i="4"/>
  <c r="C203" i="4"/>
  <c r="C35" i="4" l="1"/>
  <c r="C57" i="4" s="1"/>
  <c r="P92" i="4"/>
  <c r="O160" i="4"/>
  <c r="O246" i="4"/>
  <c r="O248" i="4" s="1"/>
  <c r="M313" i="4" s="1"/>
  <c r="CR71" i="13" s="1"/>
  <c r="O92" i="4"/>
  <c r="O91" i="4"/>
  <c r="P238" i="4"/>
  <c r="M312" i="4" s="1"/>
  <c r="P91" i="4"/>
  <c r="P160" i="4"/>
  <c r="F311" i="4"/>
  <c r="F233" i="4"/>
  <c r="F301" i="4" s="1"/>
  <c r="BE78" i="13" s="1"/>
  <c r="BE14" i="13" s="1"/>
  <c r="O27" i="17" s="1"/>
  <c r="G45" i="13"/>
  <c r="C45" i="13" s="1"/>
  <c r="G39" i="13"/>
  <c r="C6" i="17" s="1"/>
  <c r="C3" i="17"/>
  <c r="C4" i="17"/>
  <c r="D85" i="4"/>
  <c r="D89" i="4" s="1"/>
  <c r="D160" i="4" s="1"/>
  <c r="D163" i="4" s="1"/>
  <c r="C85" i="4"/>
  <c r="C89" i="4" s="1"/>
  <c r="M85" i="4"/>
  <c r="F85" i="4"/>
  <c r="G85" i="4"/>
  <c r="I85" i="4"/>
  <c r="I89" i="4" s="1"/>
  <c r="H85" i="4"/>
  <c r="E10" i="4"/>
  <c r="CH81" i="13" s="1"/>
  <c r="E114" i="4"/>
  <c r="E115" i="4" s="1"/>
  <c r="E202" i="4" s="1"/>
  <c r="F10" i="4"/>
  <c r="CJ81" i="13" s="1"/>
  <c r="F114" i="4"/>
  <c r="F115" i="4" s="1"/>
  <c r="F202" i="4" s="1"/>
  <c r="K41" i="17"/>
  <c r="S43" i="17"/>
  <c r="M26" i="17"/>
  <c r="O26" i="17"/>
  <c r="N27" i="17"/>
  <c r="Q26" i="17"/>
  <c r="Q43" i="17"/>
  <c r="J42" i="6"/>
  <c r="CP70" i="13"/>
  <c r="L27" i="17"/>
  <c r="K22" i="17"/>
  <c r="AW19" i="13"/>
  <c r="U30" i="13" s="1"/>
  <c r="AW20" i="13"/>
  <c r="K45" i="17" s="1"/>
  <c r="AW17" i="13"/>
  <c r="K31" i="17" s="1"/>
  <c r="G18" i="17"/>
  <c r="U19" i="13"/>
  <c r="G10" i="17" s="1"/>
  <c r="N18" i="16"/>
  <c r="N7" i="16"/>
  <c r="K18" i="16"/>
  <c r="K5" i="16"/>
  <c r="K4" i="16"/>
  <c r="U32" i="13" s="1"/>
  <c r="K16" i="16"/>
  <c r="N4" i="16"/>
  <c r="K10" i="16"/>
  <c r="K9" i="16"/>
  <c r="N20" i="16"/>
  <c r="K7" i="16"/>
  <c r="N8" i="16"/>
  <c r="K6" i="16"/>
  <c r="N17" i="16"/>
  <c r="N6" i="16"/>
  <c r="K17" i="16"/>
  <c r="N5" i="16"/>
  <c r="N15" i="16"/>
  <c r="N14" i="16"/>
  <c r="N10" i="16"/>
  <c r="N9" i="16"/>
  <c r="N19" i="16"/>
  <c r="K19" i="16"/>
  <c r="N16" i="16"/>
  <c r="K15" i="16"/>
  <c r="K14" i="16"/>
  <c r="K8" i="16"/>
  <c r="K20" i="16"/>
  <c r="Q17" i="16"/>
  <c r="Q6" i="16"/>
  <c r="Q16" i="16"/>
  <c r="Q5" i="16"/>
  <c r="Q4" i="16"/>
  <c r="U33" i="13" s="1"/>
  <c r="Q10" i="16"/>
  <c r="Q19" i="16"/>
  <c r="Q7" i="16"/>
  <c r="Q15" i="16"/>
  <c r="Q20" i="16"/>
  <c r="Q8" i="16"/>
  <c r="Q14" i="16"/>
  <c r="Q9" i="16"/>
  <c r="Q18" i="16"/>
  <c r="H16" i="16"/>
  <c r="H5" i="16"/>
  <c r="H15" i="16"/>
  <c r="H4" i="16"/>
  <c r="U31" i="13" s="1"/>
  <c r="H10" i="16"/>
  <c r="H20" i="16"/>
  <c r="H9" i="16"/>
  <c r="H19" i="16"/>
  <c r="H8" i="16"/>
  <c r="H7" i="16"/>
  <c r="H17" i="16"/>
  <c r="H6" i="16"/>
  <c r="H14" i="16"/>
  <c r="H18" i="16"/>
  <c r="D37" i="4"/>
  <c r="D38" i="4" s="1"/>
  <c r="D42" i="4" s="1"/>
  <c r="D43" i="4" s="1"/>
  <c r="D46" i="4" s="1"/>
  <c r="M281" i="4"/>
  <c r="K24" i="6" s="1"/>
  <c r="G281" i="4"/>
  <c r="H24" i="6" s="1"/>
  <c r="I281" i="4"/>
  <c r="J24" i="6" s="1"/>
  <c r="F281" i="4"/>
  <c r="F283" i="4" s="1"/>
  <c r="F284" i="4" s="1"/>
  <c r="H281" i="4"/>
  <c r="I24" i="6" s="1"/>
  <c r="E281" i="4"/>
  <c r="F24" i="6" s="1"/>
  <c r="D281" i="4"/>
  <c r="D283" i="4" s="1"/>
  <c r="D284" i="4" s="1"/>
  <c r="C281" i="4"/>
  <c r="D24" i="6" s="1"/>
  <c r="H274" i="4"/>
  <c r="G274" i="4"/>
  <c r="I274" i="4"/>
  <c r="F274" i="4"/>
  <c r="E274" i="4"/>
  <c r="C274" i="4"/>
  <c r="D274" i="4"/>
  <c r="M274" i="4"/>
  <c r="G267" i="4"/>
  <c r="H267" i="4"/>
  <c r="M267" i="4"/>
  <c r="C267" i="4"/>
  <c r="E267" i="4"/>
  <c r="D267" i="4"/>
  <c r="I267" i="4"/>
  <c r="F267" i="4"/>
  <c r="H35" i="4"/>
  <c r="H57" i="4" s="1"/>
  <c r="F116" i="12"/>
  <c r="I116" i="12"/>
  <c r="C178" i="4"/>
  <c r="C329" i="4" s="1"/>
  <c r="D16" i="6"/>
  <c r="AY35" i="13" s="1"/>
  <c r="E117" i="12"/>
  <c r="H116" i="12"/>
  <c r="G116" i="12"/>
  <c r="G111" i="4"/>
  <c r="G110" i="4" s="1"/>
  <c r="G94" i="4"/>
  <c r="G95" i="4" s="1"/>
  <c r="H111" i="4"/>
  <c r="H110" i="4" s="1"/>
  <c r="H94" i="4"/>
  <c r="H95" i="4" s="1"/>
  <c r="I35" i="4"/>
  <c r="I57" i="4" s="1"/>
  <c r="I37" i="4"/>
  <c r="I38" i="4" s="1"/>
  <c r="I42" i="4" s="1"/>
  <c r="I43" i="4" s="1"/>
  <c r="I46" i="4" s="1"/>
  <c r="E37" i="4"/>
  <c r="E38" i="4" s="1"/>
  <c r="E42" i="4" s="1"/>
  <c r="E43" i="4" s="1"/>
  <c r="L240" i="4"/>
  <c r="L241" i="4" s="1"/>
  <c r="I302" i="4" s="1"/>
  <c r="BK79" i="13" s="1"/>
  <c r="BK12" i="13" s="1"/>
  <c r="J92" i="4"/>
  <c r="J160" i="4"/>
  <c r="G35" i="4"/>
  <c r="G57" i="4" s="1"/>
  <c r="E215" i="4"/>
  <c r="E219" i="4" s="1"/>
  <c r="E293" i="4" s="1"/>
  <c r="BC70" i="13" s="1"/>
  <c r="C215" i="4"/>
  <c r="C219" i="4" s="1"/>
  <c r="C293" i="4" s="1"/>
  <c r="AY70" i="13" s="1"/>
  <c r="C179" i="4"/>
  <c r="I232" i="4"/>
  <c r="I233" i="4" s="1"/>
  <c r="I301" i="4" s="1"/>
  <c r="BK78" i="13" s="1"/>
  <c r="BK14" i="13" s="1"/>
  <c r="M35" i="4"/>
  <c r="M57" i="4" s="1"/>
  <c r="F35" i="4"/>
  <c r="F57" i="4" s="1"/>
  <c r="H233" i="4"/>
  <c r="H301" i="4" s="1"/>
  <c r="BI78" i="13" s="1"/>
  <c r="BI14" i="13" s="1"/>
  <c r="G176" i="4"/>
  <c r="H16" i="6" s="1"/>
  <c r="BG35" i="13" s="1"/>
  <c r="E176" i="4"/>
  <c r="C177" i="4"/>
  <c r="C114" i="4"/>
  <c r="O249" i="4"/>
  <c r="O250" i="4" s="1"/>
  <c r="M303" i="4" s="1"/>
  <c r="BM80" i="13" s="1"/>
  <c r="BM11" i="13" s="1"/>
  <c r="G311" i="4"/>
  <c r="CL69" i="13" s="1"/>
  <c r="G233" i="4"/>
  <c r="G301" i="4" s="1"/>
  <c r="BG78" i="13" s="1"/>
  <c r="BG14" i="13" s="1"/>
  <c r="P27" i="17" s="1"/>
  <c r="K248" i="4"/>
  <c r="I313" i="4" s="1"/>
  <c r="I174" i="4"/>
  <c r="D10" i="4"/>
  <c r="CF81" i="13" s="1"/>
  <c r="D114" i="4"/>
  <c r="F89" i="4"/>
  <c r="M89" i="4"/>
  <c r="G89" i="4"/>
  <c r="C47" i="4"/>
  <c r="M47" i="4"/>
  <c r="H47" i="4"/>
  <c r="F47" i="4"/>
  <c r="F19" i="6"/>
  <c r="G47" i="4"/>
  <c r="I19" i="6"/>
  <c r="D19" i="6"/>
  <c r="G173" i="4"/>
  <c r="G189" i="4" s="1"/>
  <c r="C173" i="4"/>
  <c r="C191" i="4" s="1"/>
  <c r="E173" i="4"/>
  <c r="E191" i="4" s="1"/>
  <c r="E89" i="4"/>
  <c r="G293" i="4"/>
  <c r="BG70" i="13" s="1"/>
  <c r="E209" i="4"/>
  <c r="I191" i="4"/>
  <c r="I189" i="4"/>
  <c r="C206" i="4"/>
  <c r="C209" i="4" s="1"/>
  <c r="P240" i="4" l="1"/>
  <c r="P241" i="4" s="1"/>
  <c r="M302" i="4" s="1"/>
  <c r="BM79" i="13" s="1"/>
  <c r="BM12" i="13" s="1"/>
  <c r="N160" i="4"/>
  <c r="M160" i="4" s="1"/>
  <c r="M163" i="4" s="1"/>
  <c r="N92" i="4"/>
  <c r="M92" i="4" s="1"/>
  <c r="M232" i="4"/>
  <c r="M233" i="4" s="1"/>
  <c r="M301" i="4" s="1"/>
  <c r="BM78" i="13" s="1"/>
  <c r="BM14" i="13" s="1"/>
  <c r="S27" i="17" s="1"/>
  <c r="K43" i="6"/>
  <c r="CJ69" i="13"/>
  <c r="G19" i="6"/>
  <c r="F119" i="4"/>
  <c r="F120" i="4" s="1"/>
  <c r="F125" i="4" s="1"/>
  <c r="F126" i="4" s="1"/>
  <c r="F130" i="4" s="1"/>
  <c r="CJ80" i="13" s="1"/>
  <c r="E119" i="4"/>
  <c r="E120" i="4" s="1"/>
  <c r="E134" i="4" s="1"/>
  <c r="I17" i="6"/>
  <c r="S25" i="17"/>
  <c r="K42" i="6"/>
  <c r="CR70" i="13"/>
  <c r="R25" i="17"/>
  <c r="J43" i="6"/>
  <c r="CP71" i="13"/>
  <c r="Q27" i="17"/>
  <c r="S24" i="17"/>
  <c r="R27" i="17"/>
  <c r="AW18" i="13"/>
  <c r="AX14" i="13" s="1"/>
  <c r="U27" i="13"/>
  <c r="E20" i="16"/>
  <c r="E19" i="16"/>
  <c r="E5" i="16"/>
  <c r="E6" i="16"/>
  <c r="E4" i="16"/>
  <c r="E18" i="16"/>
  <c r="E17" i="16"/>
  <c r="E16" i="16"/>
  <c r="E15" i="16"/>
  <c r="E7" i="16"/>
  <c r="E14" i="16"/>
  <c r="E8" i="16"/>
  <c r="E9" i="16"/>
  <c r="E10" i="16"/>
  <c r="D47" i="4"/>
  <c r="D48" i="4" s="1"/>
  <c r="D49" i="4" s="1"/>
  <c r="D54" i="4" s="1"/>
  <c r="D55" i="4" s="1"/>
  <c r="F160" i="4"/>
  <c r="F163" i="4" s="1"/>
  <c r="I283" i="4"/>
  <c r="I284" i="4" s="1"/>
  <c r="I287" i="4" s="1"/>
  <c r="M283" i="4"/>
  <c r="M284" i="4" s="1"/>
  <c r="M287" i="4" s="1"/>
  <c r="C283" i="4"/>
  <c r="C284" i="4" s="1"/>
  <c r="C287" i="4" s="1"/>
  <c r="C290" i="4" s="1"/>
  <c r="E283" i="4"/>
  <c r="E284" i="4" s="1"/>
  <c r="E287" i="4" s="1"/>
  <c r="E290" i="4" s="1"/>
  <c r="BC67" i="13" s="1"/>
  <c r="BC9" i="13" s="1"/>
  <c r="G24" i="6"/>
  <c r="H283" i="4"/>
  <c r="H284" i="4" s="1"/>
  <c r="H287" i="4" s="1"/>
  <c r="G283" i="4"/>
  <c r="G284" i="4" s="1"/>
  <c r="G287" i="4" s="1"/>
  <c r="E24" i="6"/>
  <c r="E47" i="4"/>
  <c r="E48" i="4" s="1"/>
  <c r="E49" i="4" s="1"/>
  <c r="E54" i="4" s="1"/>
  <c r="E55" i="4" s="1"/>
  <c r="E46" i="4"/>
  <c r="F287" i="4"/>
  <c r="H17" i="6"/>
  <c r="D287" i="4"/>
  <c r="G23" i="6"/>
  <c r="E23" i="6"/>
  <c r="F117" i="12"/>
  <c r="I117" i="12"/>
  <c r="H89" i="4"/>
  <c r="H160" i="4" s="1"/>
  <c r="E179" i="4"/>
  <c r="F16" i="6"/>
  <c r="BC35" i="13" s="1"/>
  <c r="G117" i="12"/>
  <c r="E118" i="12"/>
  <c r="H117" i="12"/>
  <c r="H113" i="4"/>
  <c r="H203" i="4" s="1"/>
  <c r="H103" i="4"/>
  <c r="H108" i="4" s="1"/>
  <c r="H10" i="4" s="1"/>
  <c r="CN81" i="13" s="1"/>
  <c r="H218" i="4"/>
  <c r="H298" i="4" s="1"/>
  <c r="H118" i="4"/>
  <c r="G103" i="4"/>
  <c r="G113" i="4"/>
  <c r="I47" i="4"/>
  <c r="I48" i="4" s="1"/>
  <c r="I49" i="4" s="1"/>
  <c r="I54" i="4" s="1"/>
  <c r="I55" i="4" s="1"/>
  <c r="I92" i="4"/>
  <c r="E327" i="4"/>
  <c r="C328" i="4"/>
  <c r="G177" i="4"/>
  <c r="G178" i="4"/>
  <c r="G179" i="4"/>
  <c r="E177" i="4"/>
  <c r="E178" i="4"/>
  <c r="K249" i="4"/>
  <c r="K250" i="4" s="1"/>
  <c r="I303" i="4" s="1"/>
  <c r="BK80" i="13" s="1"/>
  <c r="BK11" i="13" s="1"/>
  <c r="I176" i="4"/>
  <c r="C115" i="4"/>
  <c r="C202" i="4" s="1"/>
  <c r="C119" i="4"/>
  <c r="C120" i="4" s="1"/>
  <c r="C125" i="4" s="1"/>
  <c r="C126" i="4" s="1"/>
  <c r="H19" i="6"/>
  <c r="D115" i="4"/>
  <c r="D202" i="4" s="1"/>
  <c r="D119" i="4"/>
  <c r="D120" i="4" s="1"/>
  <c r="G191" i="4"/>
  <c r="H13" i="6" s="1"/>
  <c r="BG32" i="13" s="1"/>
  <c r="C327" i="4"/>
  <c r="C56" i="4"/>
  <c r="C48" i="4"/>
  <c r="C49" i="4" s="1"/>
  <c r="C54" i="4" s="1"/>
  <c r="C55" i="4" s="1"/>
  <c r="G48" i="4"/>
  <c r="G49" i="4" s="1"/>
  <c r="G54" i="4" s="1"/>
  <c r="G55" i="4" s="1"/>
  <c r="G56" i="4"/>
  <c r="F48" i="4"/>
  <c r="F49" i="4" s="1"/>
  <c r="F54" i="4" s="1"/>
  <c r="F55" i="4" s="1"/>
  <c r="F56" i="4"/>
  <c r="M48" i="4"/>
  <c r="M49" i="4" s="1"/>
  <c r="M54" i="4" s="1"/>
  <c r="M55" i="4" s="1"/>
  <c r="M56" i="4"/>
  <c r="H48" i="4"/>
  <c r="H49" i="4" s="1"/>
  <c r="H54" i="4" s="1"/>
  <c r="H55" i="4" s="1"/>
  <c r="H56" i="4"/>
  <c r="E189" i="4"/>
  <c r="E326" i="4" s="1"/>
  <c r="C189" i="4"/>
  <c r="C326" i="4" s="1"/>
  <c r="G327" i="4"/>
  <c r="D173" i="4"/>
  <c r="D204" i="4"/>
  <c r="D174" i="4"/>
  <c r="I326" i="4"/>
  <c r="J13" i="6"/>
  <c r="BK32" i="13" s="1"/>
  <c r="E125" i="4" l="1"/>
  <c r="E126" i="4" s="1"/>
  <c r="F9" i="6"/>
  <c r="G9" i="6"/>
  <c r="F134" i="4"/>
  <c r="M311" i="4"/>
  <c r="CR69" i="13" s="1"/>
  <c r="K36" i="6" s="1"/>
  <c r="BM41" i="13" s="1"/>
  <c r="F129" i="4"/>
  <c r="AY67" i="13"/>
  <c r="AY9" i="13" s="1"/>
  <c r="V49" i="17" s="1"/>
  <c r="C28" i="6"/>
  <c r="AW22" i="13" s="1"/>
  <c r="AX12" i="13"/>
  <c r="AX15" i="13"/>
  <c r="AX11" i="13"/>
  <c r="R24" i="17"/>
  <c r="AX9" i="13"/>
  <c r="Q44" i="17"/>
  <c r="BI75" i="13"/>
  <c r="AW21" i="13"/>
  <c r="K32" i="17" s="1"/>
  <c r="AX13" i="13"/>
  <c r="AX10" i="13"/>
  <c r="AX17" i="13"/>
  <c r="CJ77" i="13"/>
  <c r="C129" i="4"/>
  <c r="N22" i="17"/>
  <c r="BC19" i="13"/>
  <c r="AX16" i="13"/>
  <c r="D56" i="4"/>
  <c r="D60" i="4" s="1"/>
  <c r="J23" i="6"/>
  <c r="F204" i="4"/>
  <c r="F221" i="4" s="1"/>
  <c r="F173" i="4"/>
  <c r="F191" i="4" s="1"/>
  <c r="F174" i="4"/>
  <c r="F176" i="4" s="1"/>
  <c r="G16" i="6" s="1"/>
  <c r="BE35" i="13" s="1"/>
  <c r="K23" i="6"/>
  <c r="F23" i="6"/>
  <c r="D23" i="6"/>
  <c r="H23" i="6"/>
  <c r="I23" i="6"/>
  <c r="M290" i="4"/>
  <c r="BM67" i="13" s="1"/>
  <c r="BM9" i="13" s="1"/>
  <c r="G290" i="4"/>
  <c r="BG67" i="13" s="1"/>
  <c r="BG9" i="13" s="1"/>
  <c r="F290" i="4"/>
  <c r="BE67" i="13" s="1"/>
  <c r="BE9" i="13" s="1"/>
  <c r="H290" i="4"/>
  <c r="BI67" i="13" s="1"/>
  <c r="BI9" i="13" s="1"/>
  <c r="D290" i="4"/>
  <c r="BA67" i="13" s="1"/>
  <c r="BA9" i="13" s="1"/>
  <c r="I290" i="4"/>
  <c r="BK67" i="13" s="1"/>
  <c r="BK9" i="13" s="1"/>
  <c r="E56" i="4"/>
  <c r="E60" i="4" s="1"/>
  <c r="M204" i="4"/>
  <c r="M221" i="4" s="1"/>
  <c r="M174" i="4"/>
  <c r="M176" i="4" s="1"/>
  <c r="M177" i="4" s="1"/>
  <c r="M173" i="4"/>
  <c r="M189" i="4" s="1"/>
  <c r="H163" i="4"/>
  <c r="E328" i="4"/>
  <c r="E119" i="12"/>
  <c r="I119" i="12" s="1"/>
  <c r="I118" i="12"/>
  <c r="I224" i="4"/>
  <c r="I215" i="4" s="1"/>
  <c r="J16" i="6"/>
  <c r="BK35" i="13" s="1"/>
  <c r="F118" i="12"/>
  <c r="G118" i="12"/>
  <c r="H118" i="12"/>
  <c r="E130" i="4"/>
  <c r="CH80" i="13" s="1"/>
  <c r="F201" i="4"/>
  <c r="F220" i="4" s="1"/>
  <c r="E129" i="4"/>
  <c r="C130" i="4"/>
  <c r="CD80" i="13" s="1"/>
  <c r="I56" i="4"/>
  <c r="I60" i="4" s="1"/>
  <c r="H114" i="4"/>
  <c r="G118" i="4"/>
  <c r="G203" i="4"/>
  <c r="G206" i="4" s="1"/>
  <c r="G209" i="4" s="1"/>
  <c r="G218" i="4"/>
  <c r="G298" i="4" s="1"/>
  <c r="G108" i="4"/>
  <c r="G10" i="4" s="1"/>
  <c r="CL81" i="13" s="1"/>
  <c r="I102" i="4"/>
  <c r="I107" i="4" s="1"/>
  <c r="M60" i="4"/>
  <c r="H60" i="4"/>
  <c r="F60" i="4"/>
  <c r="C60" i="4"/>
  <c r="G60" i="4"/>
  <c r="G329" i="4"/>
  <c r="E329" i="4"/>
  <c r="F141" i="4"/>
  <c r="G6" i="6" s="1"/>
  <c r="F131" i="4"/>
  <c r="F150" i="4" s="1"/>
  <c r="F144" i="4"/>
  <c r="F143" i="4"/>
  <c r="I311" i="4"/>
  <c r="CP69" i="13" s="1"/>
  <c r="I177" i="4"/>
  <c r="I178" i="4"/>
  <c r="G328" i="4"/>
  <c r="F142" i="4"/>
  <c r="D176" i="4"/>
  <c r="E16" i="6" s="1"/>
  <c r="BA35" i="13" s="1"/>
  <c r="G326" i="4"/>
  <c r="D9" i="6"/>
  <c r="C134" i="4"/>
  <c r="M102" i="4"/>
  <c r="M107" i="4" s="1"/>
  <c r="M94" i="4" s="1"/>
  <c r="M95" i="4" s="1"/>
  <c r="E9" i="6"/>
  <c r="D134" i="4"/>
  <c r="D125" i="4"/>
  <c r="D126" i="4" s="1"/>
  <c r="F13" i="6"/>
  <c r="BC32" i="13" s="1"/>
  <c r="D13" i="6"/>
  <c r="AY32" i="13" s="1"/>
  <c r="C332" i="4"/>
  <c r="L42" i="17" s="1"/>
  <c r="H50" i="4"/>
  <c r="H52" i="4" s="1"/>
  <c r="H53" i="4" s="1"/>
  <c r="E50" i="4"/>
  <c r="E52" i="4" s="1"/>
  <c r="E53" i="4" s="1"/>
  <c r="F50" i="4"/>
  <c r="F52" i="4" s="1"/>
  <c r="F53" i="4" s="1"/>
  <c r="M50" i="4"/>
  <c r="M52" i="4" s="1"/>
  <c r="M53" i="4" s="1"/>
  <c r="C50" i="4"/>
  <c r="C52" i="4" s="1"/>
  <c r="C53" i="4" s="1"/>
  <c r="G50" i="4"/>
  <c r="G52" i="4" s="1"/>
  <c r="G53" i="4" s="1"/>
  <c r="D50" i="4"/>
  <c r="D52" i="4" s="1"/>
  <c r="D53" i="4" s="1"/>
  <c r="I50" i="4"/>
  <c r="I52" i="4" s="1"/>
  <c r="I53" i="4" s="1"/>
  <c r="D221" i="4"/>
  <c r="D206" i="4"/>
  <c r="D189" i="4"/>
  <c r="D191" i="4"/>
  <c r="K19" i="6" l="1"/>
  <c r="K37" i="6"/>
  <c r="BM42" i="13" s="1"/>
  <c r="L22" i="17"/>
  <c r="AY19" i="13"/>
  <c r="U21" i="13"/>
  <c r="BG19" i="13"/>
  <c r="P22" i="17"/>
  <c r="S22" i="17"/>
  <c r="BM19" i="13"/>
  <c r="P44" i="17"/>
  <c r="BG75" i="13"/>
  <c r="CH77" i="13"/>
  <c r="Q22" i="17"/>
  <c r="BI19" i="13"/>
  <c r="O22" i="17"/>
  <c r="BE19" i="13"/>
  <c r="R22" i="17"/>
  <c r="BK19" i="13"/>
  <c r="BA19" i="13"/>
  <c r="M22" i="17"/>
  <c r="CD77" i="13"/>
  <c r="F189" i="4"/>
  <c r="G13" i="6" s="1"/>
  <c r="BE32" i="13" s="1"/>
  <c r="F206" i="4"/>
  <c r="F209" i="4" s="1"/>
  <c r="F330" i="4" s="1"/>
  <c r="H119" i="12"/>
  <c r="E120" i="12"/>
  <c r="I120" i="12" s="1"/>
  <c r="M191" i="4"/>
  <c r="K13" i="6" s="1"/>
  <c r="BM32" i="13" s="1"/>
  <c r="E332" i="4"/>
  <c r="N42" i="17" s="1"/>
  <c r="K16" i="6"/>
  <c r="BM35" i="13" s="1"/>
  <c r="M178" i="4"/>
  <c r="M329" i="4" s="1"/>
  <c r="M224" i="4"/>
  <c r="M179" i="4" s="1"/>
  <c r="M328" i="4" s="1"/>
  <c r="H174" i="4"/>
  <c r="H176" i="4" s="1"/>
  <c r="I16" i="6" s="1"/>
  <c r="BI35" i="13" s="1"/>
  <c r="H204" i="4"/>
  <c r="H206" i="4" s="1"/>
  <c r="H209" i="4" s="1"/>
  <c r="H330" i="4" s="1"/>
  <c r="H173" i="4"/>
  <c r="M218" i="4"/>
  <c r="M298" i="4" s="1"/>
  <c r="K17" i="6"/>
  <c r="G119" i="12"/>
  <c r="F119" i="12"/>
  <c r="I179" i="4"/>
  <c r="I328" i="4" s="1"/>
  <c r="I219" i="4"/>
  <c r="I327" i="4" s="1"/>
  <c r="F228" i="4"/>
  <c r="F205" i="4"/>
  <c r="F208" i="4" s="1"/>
  <c r="F322" i="4" s="1"/>
  <c r="F227" i="4"/>
  <c r="G10" i="6"/>
  <c r="F314" i="4"/>
  <c r="CJ72" i="13" s="1"/>
  <c r="E144" i="4"/>
  <c r="C131" i="4"/>
  <c r="E131" i="4"/>
  <c r="E151" i="4" s="1"/>
  <c r="D129" i="4"/>
  <c r="P94" i="4"/>
  <c r="M103" i="4"/>
  <c r="M108" i="4" s="1"/>
  <c r="M10" i="4" s="1"/>
  <c r="CR81" i="13" s="1"/>
  <c r="O94" i="4"/>
  <c r="N94" i="4"/>
  <c r="H119" i="4"/>
  <c r="H120" i="4" s="1"/>
  <c r="H115" i="4"/>
  <c r="H202" i="4" s="1"/>
  <c r="I94" i="4"/>
  <c r="I95" i="4" s="1"/>
  <c r="G114" i="4"/>
  <c r="G119" i="4" s="1"/>
  <c r="F62" i="4"/>
  <c r="F63" i="4" s="1"/>
  <c r="F64" i="4" s="1"/>
  <c r="F65" i="4" s="1"/>
  <c r="G62" i="4"/>
  <c r="G63" i="4" s="1"/>
  <c r="G64" i="4" s="1"/>
  <c r="G65" i="4" s="1"/>
  <c r="E62" i="4"/>
  <c r="E63" i="4" s="1"/>
  <c r="E64" i="4" s="1"/>
  <c r="E65" i="4" s="1"/>
  <c r="H62" i="4"/>
  <c r="H63" i="4" s="1"/>
  <c r="H64" i="4" s="1"/>
  <c r="H65" i="4" s="1"/>
  <c r="D62" i="4"/>
  <c r="D63" i="4" s="1"/>
  <c r="D64" i="4" s="1"/>
  <c r="D65" i="4" s="1"/>
  <c r="I62" i="4"/>
  <c r="I63" i="4" s="1"/>
  <c r="I64" i="4" s="1"/>
  <c r="I65" i="4" s="1"/>
  <c r="C62" i="4"/>
  <c r="C63" i="4" s="1"/>
  <c r="C64" i="4" s="1"/>
  <c r="C65" i="4" s="1"/>
  <c r="M62" i="4"/>
  <c r="M63" i="4" s="1"/>
  <c r="M64" i="4" s="1"/>
  <c r="M65" i="4" s="1"/>
  <c r="J19" i="6"/>
  <c r="E201" i="4"/>
  <c r="E227" i="4" s="1"/>
  <c r="E141" i="4"/>
  <c r="F6" i="6" s="1"/>
  <c r="E142" i="4"/>
  <c r="E143" i="4"/>
  <c r="F151" i="4"/>
  <c r="F146" i="4"/>
  <c r="G8" i="6" s="1"/>
  <c r="G7" i="6"/>
  <c r="I329" i="4"/>
  <c r="G332" i="4"/>
  <c r="P42" i="17" s="1"/>
  <c r="D224" i="4"/>
  <c r="D178" i="4"/>
  <c r="F177" i="4"/>
  <c r="F178" i="4"/>
  <c r="F147" i="4"/>
  <c r="D177" i="4"/>
  <c r="F224" i="4"/>
  <c r="D130" i="4"/>
  <c r="CF80" i="13" s="1"/>
  <c r="G11" i="6"/>
  <c r="BE30" i="13" s="1"/>
  <c r="F186" i="4"/>
  <c r="F188" i="4"/>
  <c r="K11" i="6"/>
  <c r="E11" i="6"/>
  <c r="BA30" i="13" s="1"/>
  <c r="F11" i="6"/>
  <c r="BC30" i="13" s="1"/>
  <c r="F222" i="4"/>
  <c r="J11" i="6"/>
  <c r="BK30" i="13" s="1"/>
  <c r="H11" i="6"/>
  <c r="I11" i="6"/>
  <c r="BI30" i="13" s="1"/>
  <c r="D11" i="6"/>
  <c r="D209" i="4"/>
  <c r="D330" i="4" s="1"/>
  <c r="D326" i="4"/>
  <c r="E13" i="6"/>
  <c r="BA32" i="13" s="1"/>
  <c r="CF77" i="13" l="1"/>
  <c r="S44" i="17"/>
  <c r="BM75" i="13"/>
  <c r="BM30" i="13"/>
  <c r="BG30" i="13"/>
  <c r="AY30" i="13"/>
  <c r="AX30" i="13"/>
  <c r="F194" i="4"/>
  <c r="F326" i="4"/>
  <c r="P111" i="4"/>
  <c r="P110" i="4" s="1"/>
  <c r="P113" i="4" s="1"/>
  <c r="N111" i="4"/>
  <c r="N110" i="4" s="1"/>
  <c r="N113" i="4" s="1"/>
  <c r="O111" i="4"/>
  <c r="O110" i="4" s="1"/>
  <c r="O113" i="4" s="1"/>
  <c r="M326" i="4"/>
  <c r="G120" i="12"/>
  <c r="F120" i="12"/>
  <c r="H120" i="12"/>
  <c r="E121" i="12"/>
  <c r="I121" i="12" s="1"/>
  <c r="H224" i="4"/>
  <c r="H215" i="4" s="1"/>
  <c r="H221" i="4"/>
  <c r="H177" i="4"/>
  <c r="H178" i="4"/>
  <c r="H329" i="4" s="1"/>
  <c r="M215" i="4"/>
  <c r="M219" i="4" s="1"/>
  <c r="M327" i="4" s="1"/>
  <c r="H191" i="4"/>
  <c r="H189" i="4"/>
  <c r="I218" i="4"/>
  <c r="I298" i="4" s="1"/>
  <c r="J17" i="6"/>
  <c r="F207" i="4"/>
  <c r="F210" i="4" s="1"/>
  <c r="F297" i="4" s="1"/>
  <c r="BE74" i="13" s="1"/>
  <c r="I293" i="4"/>
  <c r="BK70" i="13" s="1"/>
  <c r="J36" i="6"/>
  <c r="BK41" i="13" s="1"/>
  <c r="J37" i="6"/>
  <c r="BK42" i="13" s="1"/>
  <c r="J35" i="6"/>
  <c r="BK40" i="13" s="1"/>
  <c r="C144" i="4"/>
  <c r="C143" i="4"/>
  <c r="C141" i="4"/>
  <c r="C142" i="4"/>
  <c r="F154" i="4"/>
  <c r="E154" i="4"/>
  <c r="F15" i="6" s="1"/>
  <c r="BC34" i="13" s="1"/>
  <c r="I332" i="4"/>
  <c r="R42" i="17" s="1"/>
  <c r="K94" i="4"/>
  <c r="J94" i="4"/>
  <c r="L94" i="4"/>
  <c r="H125" i="4"/>
  <c r="I9" i="6"/>
  <c r="H134" i="4"/>
  <c r="I103" i="4"/>
  <c r="I108" i="4" s="1"/>
  <c r="I10" i="4" s="1"/>
  <c r="CP81" i="13" s="1"/>
  <c r="G120" i="4"/>
  <c r="G125" i="4" s="1"/>
  <c r="G115" i="4"/>
  <c r="G202" i="4" s="1"/>
  <c r="E147" i="4"/>
  <c r="E205" i="4"/>
  <c r="E208" i="4" s="1"/>
  <c r="E220" i="4"/>
  <c r="E222" i="4" s="1"/>
  <c r="F291" i="4"/>
  <c r="BE68" i="13" s="1"/>
  <c r="E146" i="4"/>
  <c r="F8" i="6" s="1"/>
  <c r="C291" i="4"/>
  <c r="AY68" i="13" s="1"/>
  <c r="F7" i="6"/>
  <c r="I291" i="4"/>
  <c r="BK68" i="13" s="1"/>
  <c r="E291" i="4"/>
  <c r="BC68" i="13" s="1"/>
  <c r="H291" i="4"/>
  <c r="BI68" i="13" s="1"/>
  <c r="G291" i="4"/>
  <c r="BG68" i="13" s="1"/>
  <c r="D291" i="4"/>
  <c r="BA68" i="13" s="1"/>
  <c r="E228" i="4"/>
  <c r="E314" i="4"/>
  <c r="CH72" i="13" s="1"/>
  <c r="E150" i="4"/>
  <c r="E188" i="4" s="1"/>
  <c r="F10" i="6"/>
  <c r="D329" i="4"/>
  <c r="F329" i="4"/>
  <c r="D215" i="4"/>
  <c r="D219" i="4" s="1"/>
  <c r="D179" i="4"/>
  <c r="D328" i="4" s="1"/>
  <c r="F215" i="4"/>
  <c r="F219" i="4" s="1"/>
  <c r="F327" i="4" s="1"/>
  <c r="F179" i="4"/>
  <c r="F328" i="4" s="1"/>
  <c r="C201" i="4"/>
  <c r="D143" i="4"/>
  <c r="D131" i="4"/>
  <c r="D141" i="4"/>
  <c r="D142" i="4"/>
  <c r="D144" i="4"/>
  <c r="D201" i="4"/>
  <c r="G12" i="6"/>
  <c r="BE31" i="13" s="1"/>
  <c r="F195" i="4"/>
  <c r="F318" i="4"/>
  <c r="N40" i="17" l="1"/>
  <c r="R40" i="17"/>
  <c r="M40" i="17"/>
  <c r="P40" i="17"/>
  <c r="L40" i="17"/>
  <c r="O40" i="17"/>
  <c r="R44" i="17"/>
  <c r="BK75" i="13"/>
  <c r="Q40" i="17"/>
  <c r="F198" i="4"/>
  <c r="F300" i="4" s="1"/>
  <c r="BE77" i="13" s="1"/>
  <c r="H219" i="4"/>
  <c r="H327" i="4" s="1"/>
  <c r="L111" i="4"/>
  <c r="L110" i="4" s="1"/>
  <c r="L113" i="4" s="1"/>
  <c r="J111" i="4"/>
  <c r="J110" i="4" s="1"/>
  <c r="J114" i="4" s="1"/>
  <c r="J119" i="4" s="1"/>
  <c r="K111" i="4"/>
  <c r="K110" i="4" s="1"/>
  <c r="K113" i="4" s="1"/>
  <c r="G5" i="6"/>
  <c r="M291" i="4"/>
  <c r="BM68" i="13" s="1"/>
  <c r="H121" i="12"/>
  <c r="E122" i="12"/>
  <c r="I122" i="12" s="1"/>
  <c r="F121" i="12"/>
  <c r="G121" i="12"/>
  <c r="H179" i="4"/>
  <c r="H328" i="4" s="1"/>
  <c r="M293" i="4"/>
  <c r="BM70" i="13" s="1"/>
  <c r="I13" i="6"/>
  <c r="BI32" i="13" s="1"/>
  <c r="H326" i="4"/>
  <c r="J38" i="6"/>
  <c r="BK43" i="13" s="1"/>
  <c r="F223" i="4"/>
  <c r="F157" i="4" s="1"/>
  <c r="F320" i="4" s="1"/>
  <c r="G15" i="6"/>
  <c r="BE34" i="13" s="1"/>
  <c r="F18" i="6"/>
  <c r="G18" i="6"/>
  <c r="G122" i="12"/>
  <c r="H126" i="4"/>
  <c r="F156" i="4"/>
  <c r="F321" i="4" s="1"/>
  <c r="E156" i="4"/>
  <c r="E211" i="4" s="1"/>
  <c r="E295" i="4" s="1"/>
  <c r="BC72" i="13" s="1"/>
  <c r="E155" i="4"/>
  <c r="E223" i="4"/>
  <c r="E157" i="4" s="1"/>
  <c r="F155" i="4"/>
  <c r="E153" i="4"/>
  <c r="F153" i="4"/>
  <c r="P114" i="4"/>
  <c r="P118" i="4"/>
  <c r="P203" i="4"/>
  <c r="O114" i="4"/>
  <c r="O118" i="4"/>
  <c r="O203" i="4"/>
  <c r="N114" i="4"/>
  <c r="N118" i="4"/>
  <c r="N203" i="4"/>
  <c r="H9" i="6"/>
  <c r="G126" i="4"/>
  <c r="G134" i="4"/>
  <c r="E207" i="4"/>
  <c r="E210" i="4" s="1"/>
  <c r="E297" i="4" s="1"/>
  <c r="BC74" i="13" s="1"/>
  <c r="C150" i="4"/>
  <c r="C151" i="4"/>
  <c r="E186" i="4"/>
  <c r="E194" i="4" s="1"/>
  <c r="F332" i="4"/>
  <c r="O42" i="17" s="1"/>
  <c r="F293" i="4"/>
  <c r="BE70" i="13" s="1"/>
  <c r="G22" i="6"/>
  <c r="D293" i="4"/>
  <c r="BA70" i="13" s="1"/>
  <c r="D327" i="4"/>
  <c r="D332" i="4" s="1"/>
  <c r="M42" i="17" s="1"/>
  <c r="C147" i="4"/>
  <c r="G25" i="6"/>
  <c r="C220" i="4"/>
  <c r="C222" i="4" s="1"/>
  <c r="D10" i="6"/>
  <c r="C228" i="4"/>
  <c r="C205" i="4"/>
  <c r="C314" i="4"/>
  <c r="CD72" i="13" s="1"/>
  <c r="C227" i="4"/>
  <c r="C146" i="4"/>
  <c r="D8" i="6" s="1"/>
  <c r="D6" i="6"/>
  <c r="D7" i="6"/>
  <c r="D147" i="4"/>
  <c r="E10" i="6"/>
  <c r="D314" i="4"/>
  <c r="CF72" i="13" s="1"/>
  <c r="D205" i="4"/>
  <c r="D220" i="4"/>
  <c r="D222" i="4" s="1"/>
  <c r="D227" i="4"/>
  <c r="D228" i="4"/>
  <c r="E7" i="6"/>
  <c r="D146" i="4"/>
  <c r="E8" i="6" s="1"/>
  <c r="E6" i="6"/>
  <c r="D151" i="4"/>
  <c r="D150" i="4"/>
  <c r="G14" i="6"/>
  <c r="BE33" i="13" s="1"/>
  <c r="E195" i="4"/>
  <c r="S40" i="17" l="1"/>
  <c r="H293" i="4"/>
  <c r="BI70" i="13" s="1"/>
  <c r="H122" i="12"/>
  <c r="E123" i="12"/>
  <c r="I123" i="12" s="1"/>
  <c r="F122" i="12"/>
  <c r="L114" i="4"/>
  <c r="L119" i="4" s="1"/>
  <c r="L120" i="4" s="1"/>
  <c r="K114" i="4"/>
  <c r="K119" i="4" s="1"/>
  <c r="K120" i="4" s="1"/>
  <c r="J113" i="4"/>
  <c r="J203" i="4" s="1"/>
  <c r="H332" i="4"/>
  <c r="Q42" i="17" s="1"/>
  <c r="F212" i="4"/>
  <c r="F296" i="4" s="1"/>
  <c r="BE73" i="13" s="1"/>
  <c r="F214" i="4"/>
  <c r="F217" i="4" s="1"/>
  <c r="F319" i="4" s="1"/>
  <c r="F323" i="4" s="1"/>
  <c r="O41" i="17" s="1"/>
  <c r="G123" i="12"/>
  <c r="H130" i="4"/>
  <c r="H129" i="4"/>
  <c r="E321" i="4"/>
  <c r="F123" i="12"/>
  <c r="E124" i="12"/>
  <c r="I124" i="12" s="1"/>
  <c r="F211" i="4"/>
  <c r="F295" i="4" s="1"/>
  <c r="BE72" i="13" s="1"/>
  <c r="G130" i="4"/>
  <c r="CL80" i="13" s="1"/>
  <c r="E214" i="4"/>
  <c r="E217" i="4" s="1"/>
  <c r="E319" i="4" s="1"/>
  <c r="D154" i="4"/>
  <c r="E15" i="6" s="1"/>
  <c r="BA34" i="13" s="1"/>
  <c r="C154" i="4"/>
  <c r="D15" i="6" s="1"/>
  <c r="AY34" i="13" s="1"/>
  <c r="O119" i="4"/>
  <c r="O120" i="4" s="1"/>
  <c r="O115" i="4"/>
  <c r="O202" i="4" s="1"/>
  <c r="N115" i="4"/>
  <c r="N202" i="4" s="1"/>
  <c r="N119" i="4"/>
  <c r="N120" i="4" s="1"/>
  <c r="N125" i="4" s="1"/>
  <c r="N126" i="4" s="1"/>
  <c r="M203" i="4"/>
  <c r="M206" i="4" s="1"/>
  <c r="M209" i="4" s="1"/>
  <c r="M330" i="4" s="1"/>
  <c r="M332" i="4" s="1"/>
  <c r="S42" i="17" s="1"/>
  <c r="P115" i="4"/>
  <c r="P202" i="4" s="1"/>
  <c r="P119" i="4"/>
  <c r="P120" i="4" s="1"/>
  <c r="L118" i="4"/>
  <c r="K118" i="4"/>
  <c r="L203" i="4"/>
  <c r="J118" i="4"/>
  <c r="K203" i="4"/>
  <c r="J120" i="4"/>
  <c r="G129" i="4"/>
  <c r="E322" i="4"/>
  <c r="F12" i="6"/>
  <c r="BC31" i="13" s="1"/>
  <c r="E318" i="4"/>
  <c r="C186" i="4"/>
  <c r="C188" i="4"/>
  <c r="C208" i="4"/>
  <c r="C207" i="4"/>
  <c r="C210" i="4" s="1"/>
  <c r="D188" i="4"/>
  <c r="D186" i="4"/>
  <c r="D208" i="4"/>
  <c r="D322" i="4" s="1"/>
  <c r="D207" i="4"/>
  <c r="D210" i="4" s="1"/>
  <c r="D297" i="4" s="1"/>
  <c r="BA74" i="13" s="1"/>
  <c r="E198" i="4"/>
  <c r="E300" i="4" s="1"/>
  <c r="BC77" i="13" s="1"/>
  <c r="E320" i="4"/>
  <c r="E212" i="4"/>
  <c r="E296" i="4" s="1"/>
  <c r="BC73" i="13" s="1"/>
  <c r="H123" i="12" l="1"/>
  <c r="H142" i="4"/>
  <c r="CN80" i="13"/>
  <c r="CN77" i="13"/>
  <c r="CL77" i="13"/>
  <c r="F5" i="6"/>
  <c r="H201" i="4"/>
  <c r="H314" i="4" s="1"/>
  <c r="CN72" i="13" s="1"/>
  <c r="H144" i="4"/>
  <c r="E18" i="6"/>
  <c r="D18" i="6"/>
  <c r="H124" i="12"/>
  <c r="G124" i="12"/>
  <c r="H141" i="4"/>
  <c r="H131" i="4"/>
  <c r="H150" i="4" s="1"/>
  <c r="H143" i="4"/>
  <c r="F124" i="12"/>
  <c r="E125" i="12"/>
  <c r="I125" i="12" s="1"/>
  <c r="N129" i="4"/>
  <c r="C156" i="4"/>
  <c r="C211" i="4" s="1"/>
  <c r="C295" i="4" s="1"/>
  <c r="AY72" i="13" s="1"/>
  <c r="D153" i="4"/>
  <c r="E292" i="4"/>
  <c r="BC69" i="13" s="1"/>
  <c r="BC10" i="13" s="1"/>
  <c r="F292" i="4"/>
  <c r="BE69" i="13" s="1"/>
  <c r="BE10" i="13" s="1"/>
  <c r="D156" i="4"/>
  <c r="D211" i="4" s="1"/>
  <c r="D295" i="4" s="1"/>
  <c r="BA72" i="13" s="1"/>
  <c r="D155" i="4"/>
  <c r="D223" i="4"/>
  <c r="D157" i="4" s="1"/>
  <c r="D212" i="4" s="1"/>
  <c r="D296" i="4" s="1"/>
  <c r="BA73" i="13" s="1"/>
  <c r="C155" i="4"/>
  <c r="C153" i="4"/>
  <c r="C223" i="4"/>
  <c r="C157" i="4" s="1"/>
  <c r="N134" i="4"/>
  <c r="N130" i="4"/>
  <c r="CR78" i="13" s="1"/>
  <c r="M202" i="4"/>
  <c r="O134" i="4"/>
  <c r="O125" i="4"/>
  <c r="O126" i="4" s="1"/>
  <c r="P134" i="4"/>
  <c r="P125" i="4"/>
  <c r="P126" i="4" s="1"/>
  <c r="K9" i="6"/>
  <c r="K125" i="4"/>
  <c r="K126" i="4" s="1"/>
  <c r="L125" i="4"/>
  <c r="L126" i="4" s="1"/>
  <c r="I203" i="4"/>
  <c r="I206" i="4" s="1"/>
  <c r="I209" i="4" s="1"/>
  <c r="J115" i="4"/>
  <c r="J202" i="4" s="1"/>
  <c r="L115" i="4"/>
  <c r="L202" i="4" s="1"/>
  <c r="K115" i="4"/>
  <c r="K202" i="4" s="1"/>
  <c r="J125" i="4"/>
  <c r="J126" i="4" s="1"/>
  <c r="J9" i="6"/>
  <c r="L134" i="4"/>
  <c r="J134" i="4"/>
  <c r="K134" i="4"/>
  <c r="G131" i="4"/>
  <c r="G142" i="4"/>
  <c r="G144" i="4"/>
  <c r="G141" i="4"/>
  <c r="G201" i="4"/>
  <c r="G143" i="4"/>
  <c r="F14" i="6"/>
  <c r="BC33" i="13" s="1"/>
  <c r="F22" i="6"/>
  <c r="F25" i="6"/>
  <c r="C322" i="4"/>
  <c r="C297" i="4"/>
  <c r="AY74" i="13" s="1"/>
  <c r="C195" i="4"/>
  <c r="D12" i="6"/>
  <c r="AY31" i="13" s="1"/>
  <c r="C318" i="4"/>
  <c r="C194" i="4"/>
  <c r="D194" i="4"/>
  <c r="D318" i="4"/>
  <c r="E12" i="6"/>
  <c r="BA31" i="13" s="1"/>
  <c r="D195" i="4"/>
  <c r="E323" i="4"/>
  <c r="N41" i="17" s="1"/>
  <c r="H146" i="4" l="1"/>
  <c r="I8" i="6" s="1"/>
  <c r="O23" i="17"/>
  <c r="BE20" i="13"/>
  <c r="O45" i="17" s="1"/>
  <c r="N23" i="17"/>
  <c r="BC20" i="13"/>
  <c r="N45" i="17" s="1"/>
  <c r="CR75" i="13"/>
  <c r="H228" i="4"/>
  <c r="I10" i="6"/>
  <c r="E5" i="6"/>
  <c r="D5" i="6"/>
  <c r="D25" i="6"/>
  <c r="H220" i="4"/>
  <c r="H222" i="4" s="1"/>
  <c r="H227" i="4"/>
  <c r="H205" i="4"/>
  <c r="H208" i="4" s="1"/>
  <c r="H322" i="4" s="1"/>
  <c r="F304" i="4"/>
  <c r="BE81" i="13" s="1"/>
  <c r="BE17" i="13" s="1"/>
  <c r="E304" i="4"/>
  <c r="BC81" i="13" s="1"/>
  <c r="BC17" i="13" s="1"/>
  <c r="N31" i="17" s="1"/>
  <c r="E305" i="4"/>
  <c r="BC82" i="13" s="1"/>
  <c r="BC16" i="13" s="1"/>
  <c r="G125" i="12"/>
  <c r="H125" i="12"/>
  <c r="I6" i="6"/>
  <c r="I7" i="6"/>
  <c r="H147" i="4"/>
  <c r="K130" i="4"/>
  <c r="CP79" i="13" s="1"/>
  <c r="H151" i="4"/>
  <c r="L129" i="4"/>
  <c r="N144" i="4"/>
  <c r="F125" i="12"/>
  <c r="E126" i="12"/>
  <c r="I126" i="12" s="1"/>
  <c r="C321" i="4"/>
  <c r="F305" i="4"/>
  <c r="BE82" i="13" s="1"/>
  <c r="BE16" i="13" s="1"/>
  <c r="O29" i="17" s="1"/>
  <c r="D321" i="4"/>
  <c r="D320" i="4"/>
  <c r="D214" i="4"/>
  <c r="D217" i="4" s="1"/>
  <c r="D292" i="4" s="1"/>
  <c r="BA69" i="13" s="1"/>
  <c r="J129" i="4"/>
  <c r="C214" i="4"/>
  <c r="C217" i="4" s="1"/>
  <c r="C292" i="4" s="1"/>
  <c r="AY69" i="13" s="1"/>
  <c r="N201" i="4"/>
  <c r="N220" i="4" s="1"/>
  <c r="N222" i="4" s="1"/>
  <c r="N141" i="4"/>
  <c r="N143" i="4"/>
  <c r="N131" i="4"/>
  <c r="N151" i="4" s="1"/>
  <c r="N142" i="4"/>
  <c r="O129" i="4"/>
  <c r="O130" i="4"/>
  <c r="CR79" i="13" s="1"/>
  <c r="P129" i="4"/>
  <c r="P130" i="4"/>
  <c r="CR80" i="13" s="1"/>
  <c r="K129" i="4"/>
  <c r="L130" i="4"/>
  <c r="CP80" i="13" s="1"/>
  <c r="I202" i="4"/>
  <c r="J130" i="4"/>
  <c r="CP78" i="13" s="1"/>
  <c r="H186" i="4"/>
  <c r="H188" i="4"/>
  <c r="H10" i="6"/>
  <c r="G227" i="4"/>
  <c r="G314" i="4"/>
  <c r="CL72" i="13" s="1"/>
  <c r="G220" i="4"/>
  <c r="G222" i="4" s="1"/>
  <c r="G228" i="4"/>
  <c r="G205" i="4"/>
  <c r="H7" i="6"/>
  <c r="G146" i="4"/>
  <c r="H8" i="6" s="1"/>
  <c r="H6" i="6"/>
  <c r="G147" i="4"/>
  <c r="G150" i="4"/>
  <c r="G151" i="4"/>
  <c r="C320" i="4"/>
  <c r="C212" i="4"/>
  <c r="C296" i="4" s="1"/>
  <c r="AY73" i="13" s="1"/>
  <c r="D22" i="6"/>
  <c r="D14" i="6"/>
  <c r="AY33" i="13" s="1"/>
  <c r="C198" i="4"/>
  <c r="C300" i="4" s="1"/>
  <c r="AY77" i="13" s="1"/>
  <c r="E22" i="6"/>
  <c r="E14" i="6"/>
  <c r="BA33" i="13" s="1"/>
  <c r="E25" i="6"/>
  <c r="D198" i="4"/>
  <c r="D300" i="4" s="1"/>
  <c r="BA77" i="13" s="1"/>
  <c r="AY10" i="13" l="1"/>
  <c r="BA10" i="13"/>
  <c r="CP75" i="13"/>
  <c r="CR76" i="13"/>
  <c r="O31" i="17"/>
  <c r="CR77" i="13"/>
  <c r="CP76" i="13"/>
  <c r="N29" i="17"/>
  <c r="CP77" i="13"/>
  <c r="H207" i="4"/>
  <c r="H210" i="4" s="1"/>
  <c r="H297" i="4" s="1"/>
  <c r="BI74" i="13" s="1"/>
  <c r="K143" i="4"/>
  <c r="K131" i="4"/>
  <c r="K151" i="4" s="1"/>
  <c r="H154" i="4"/>
  <c r="I15" i="6" s="1"/>
  <c r="BI34" i="13" s="1"/>
  <c r="E306" i="4"/>
  <c r="BC83" i="13" s="1"/>
  <c r="BC15" i="13" s="1"/>
  <c r="F306" i="4"/>
  <c r="BE83" i="13" s="1"/>
  <c r="BE15" i="13" s="1"/>
  <c r="H126" i="12"/>
  <c r="G126" i="12"/>
  <c r="K201" i="4"/>
  <c r="K228" i="4" s="1"/>
  <c r="K141" i="4"/>
  <c r="K142" i="4"/>
  <c r="J131" i="4"/>
  <c r="J151" i="4" s="1"/>
  <c r="K144" i="4"/>
  <c r="L143" i="4"/>
  <c r="F126" i="12"/>
  <c r="E127" i="12"/>
  <c r="I127" i="12" s="1"/>
  <c r="D319" i="4"/>
  <c r="D323" i="4" s="1"/>
  <c r="M41" i="17" s="1"/>
  <c r="C319" i="4"/>
  <c r="C323" i="4" s="1"/>
  <c r="L41" i="17" s="1"/>
  <c r="N147" i="4"/>
  <c r="G154" i="4"/>
  <c r="H15" i="6" s="1"/>
  <c r="BG34" i="13" s="1"/>
  <c r="N146" i="4"/>
  <c r="N228" i="4"/>
  <c r="N227" i="4"/>
  <c r="N150" i="4"/>
  <c r="J143" i="4"/>
  <c r="P144" i="4"/>
  <c r="P143" i="4"/>
  <c r="P131" i="4"/>
  <c r="P142" i="4"/>
  <c r="P141" i="4"/>
  <c r="P201" i="4"/>
  <c r="O144" i="4"/>
  <c r="O131" i="4"/>
  <c r="O143" i="4"/>
  <c r="O142" i="4"/>
  <c r="O201" i="4"/>
  <c r="O141" i="4"/>
  <c r="L201" i="4"/>
  <c r="L227" i="4" s="1"/>
  <c r="L141" i="4"/>
  <c r="L144" i="4"/>
  <c r="L142" i="4"/>
  <c r="L131" i="4"/>
  <c r="L151" i="4" s="1"/>
  <c r="J144" i="4"/>
  <c r="J142" i="4"/>
  <c r="J201" i="4"/>
  <c r="J220" i="4" s="1"/>
  <c r="J222" i="4" s="1"/>
  <c r="J141" i="4"/>
  <c r="D304" i="4"/>
  <c r="BA81" i="13" s="1"/>
  <c r="BA17" i="13" s="1"/>
  <c r="I12" i="6"/>
  <c r="BI31" i="13" s="1"/>
  <c r="H195" i="4"/>
  <c r="H318" i="4"/>
  <c r="H194" i="4"/>
  <c r="G186" i="4"/>
  <c r="G188" i="4"/>
  <c r="G207" i="4"/>
  <c r="G210" i="4" s="1"/>
  <c r="G208" i="4"/>
  <c r="C304" i="4"/>
  <c r="AY81" i="13" s="1"/>
  <c r="AY17" i="13" s="1"/>
  <c r="C305" i="4"/>
  <c r="AY82" i="13" s="1"/>
  <c r="AY16" i="13" s="1"/>
  <c r="D305" i="4"/>
  <c r="BA82" i="13" s="1"/>
  <c r="BA16" i="13" s="1"/>
  <c r="M31" i="17" l="1"/>
  <c r="M29" i="17"/>
  <c r="BA20" i="13"/>
  <c r="M45" i="17" s="1"/>
  <c r="M23" i="17"/>
  <c r="L23" i="17"/>
  <c r="AY20" i="13"/>
  <c r="L45" i="17" s="1"/>
  <c r="L31" i="17"/>
  <c r="O28" i="17"/>
  <c r="BE18" i="13"/>
  <c r="N28" i="17"/>
  <c r="BC18" i="13"/>
  <c r="L29" i="17"/>
  <c r="I5" i="6"/>
  <c r="K150" i="4"/>
  <c r="H153" i="4"/>
  <c r="E307" i="4"/>
  <c r="BC84" i="13" s="1"/>
  <c r="H156" i="4"/>
  <c r="H211" i="4" s="1"/>
  <c r="H295" i="4" s="1"/>
  <c r="BI72" i="13" s="1"/>
  <c r="H223" i="4"/>
  <c r="H157" i="4" s="1"/>
  <c r="H320" i="4" s="1"/>
  <c r="H155" i="4"/>
  <c r="H18" i="6"/>
  <c r="I18" i="6"/>
  <c r="K146" i="4"/>
  <c r="K147" i="4"/>
  <c r="K220" i="4"/>
  <c r="K222" i="4" s="1"/>
  <c r="D306" i="4"/>
  <c r="BA83" i="13" s="1"/>
  <c r="BA15" i="13" s="1"/>
  <c r="BA18" i="13" s="1"/>
  <c r="C306" i="4"/>
  <c r="AY83" i="13" s="1"/>
  <c r="AY15" i="13" s="1"/>
  <c r="L28" i="17" s="1"/>
  <c r="F307" i="4"/>
  <c r="BE84" i="13" s="1"/>
  <c r="G127" i="12"/>
  <c r="H127" i="12"/>
  <c r="J150" i="4"/>
  <c r="I143" i="4"/>
  <c r="K227" i="4"/>
  <c r="F127" i="12"/>
  <c r="E128" i="12"/>
  <c r="I128" i="12" s="1"/>
  <c r="G153" i="4"/>
  <c r="G223" i="4"/>
  <c r="G157" i="4" s="1"/>
  <c r="G156" i="4"/>
  <c r="G211" i="4" s="1"/>
  <c r="G295" i="4" s="1"/>
  <c r="BG72" i="13" s="1"/>
  <c r="G155" i="4"/>
  <c r="H198" i="4"/>
  <c r="H300" i="4" s="1"/>
  <c r="BI77" i="13" s="1"/>
  <c r="P146" i="4"/>
  <c r="M144" i="4"/>
  <c r="I142" i="4"/>
  <c r="O146" i="4"/>
  <c r="M141" i="4"/>
  <c r="P147" i="4"/>
  <c r="P228" i="4"/>
  <c r="P227" i="4"/>
  <c r="P220" i="4"/>
  <c r="P222" i="4" s="1"/>
  <c r="O220" i="4"/>
  <c r="O222" i="4" s="1"/>
  <c r="M201" i="4"/>
  <c r="O228" i="4"/>
  <c r="O227" i="4"/>
  <c r="P150" i="4"/>
  <c r="P151" i="4"/>
  <c r="L228" i="4"/>
  <c r="I144" i="4"/>
  <c r="O147" i="4"/>
  <c r="M142" i="4"/>
  <c r="M143" i="4"/>
  <c r="L147" i="4"/>
  <c r="O150" i="4"/>
  <c r="O151" i="4"/>
  <c r="L146" i="4"/>
  <c r="J147" i="4"/>
  <c r="L220" i="4"/>
  <c r="L222" i="4" s="1"/>
  <c r="L150" i="4"/>
  <c r="I141" i="4"/>
  <c r="J6" i="6" s="1"/>
  <c r="J227" i="4"/>
  <c r="J228" i="4"/>
  <c r="I201" i="4"/>
  <c r="I314" i="4" s="1"/>
  <c r="CP72" i="13" s="1"/>
  <c r="J146" i="4"/>
  <c r="I154" i="4"/>
  <c r="J15" i="6" s="1"/>
  <c r="BK34" i="13" s="1"/>
  <c r="I186" i="4"/>
  <c r="I188" i="4"/>
  <c r="I14" i="6"/>
  <c r="BI33" i="13" s="1"/>
  <c r="I22" i="6"/>
  <c r="I25" i="6"/>
  <c r="H12" i="6"/>
  <c r="BG31" i="13" s="1"/>
  <c r="G195" i="4"/>
  <c r="G194" i="4"/>
  <c r="G318" i="4"/>
  <c r="G297" i="4"/>
  <c r="BG74" i="13" s="1"/>
  <c r="G322" i="4"/>
  <c r="BB14" i="13" l="1"/>
  <c r="BA21" i="13"/>
  <c r="M32" i="17" s="1"/>
  <c r="BB11" i="13"/>
  <c r="BB12" i="13"/>
  <c r="BB13" i="13"/>
  <c r="BB9" i="13"/>
  <c r="BB17" i="13"/>
  <c r="BB16" i="13"/>
  <c r="BB10" i="13"/>
  <c r="BD17" i="13"/>
  <c r="BC21" i="13"/>
  <c r="N32" i="17" s="1"/>
  <c r="BD11" i="13"/>
  <c r="BD12" i="13"/>
  <c r="BD13" i="13"/>
  <c r="BD14" i="13"/>
  <c r="BD9" i="13"/>
  <c r="BD10" i="13"/>
  <c r="BD16" i="13"/>
  <c r="BD15" i="13"/>
  <c r="BF16" i="13"/>
  <c r="BF12" i="13"/>
  <c r="BE21" i="13"/>
  <c r="O32" i="17" s="1"/>
  <c r="BF11" i="13"/>
  <c r="BF13" i="13"/>
  <c r="BF14" i="13"/>
  <c r="BF9" i="13"/>
  <c r="BF10" i="13"/>
  <c r="BF17" i="13"/>
  <c r="M28" i="17"/>
  <c r="BB15" i="13"/>
  <c r="BF15" i="13"/>
  <c r="AY18" i="13"/>
  <c r="H5" i="6"/>
  <c r="G28" i="6"/>
  <c r="BE22" i="13" s="1"/>
  <c r="F28" i="6"/>
  <c r="BC22" i="13" s="1"/>
  <c r="H212" i="4"/>
  <c r="H296" i="4" s="1"/>
  <c r="BI73" i="13" s="1"/>
  <c r="H214" i="4"/>
  <c r="H217" i="4" s="1"/>
  <c r="H292" i="4" s="1"/>
  <c r="BI69" i="13" s="1"/>
  <c r="E310" i="4"/>
  <c r="CH68" i="13" s="1"/>
  <c r="I146" i="4"/>
  <c r="J8" i="6" s="1"/>
  <c r="H321" i="4"/>
  <c r="J18" i="6"/>
  <c r="F310" i="4"/>
  <c r="CJ68" i="13" s="1"/>
  <c r="H128" i="12"/>
  <c r="G128" i="12"/>
  <c r="F128" i="12"/>
  <c r="E129" i="12"/>
  <c r="I129" i="12" s="1"/>
  <c r="G214" i="4"/>
  <c r="G217" i="4" s="1"/>
  <c r="G292" i="4" s="1"/>
  <c r="BG69" i="13" s="1"/>
  <c r="I153" i="4"/>
  <c r="G321" i="4"/>
  <c r="M146" i="4"/>
  <c r="K8" i="6" s="1"/>
  <c r="D307" i="4"/>
  <c r="BA84" i="13" s="1"/>
  <c r="I147" i="4"/>
  <c r="J7" i="6"/>
  <c r="M147" i="4"/>
  <c r="J10" i="6"/>
  <c r="M154" i="4"/>
  <c r="K15" i="6" s="1"/>
  <c r="BM34" i="13" s="1"/>
  <c r="M188" i="4"/>
  <c r="M186" i="4"/>
  <c r="K10" i="6"/>
  <c r="M205" i="4"/>
  <c r="M314" i="4"/>
  <c r="CR72" i="13" s="1"/>
  <c r="M220" i="4"/>
  <c r="M222" i="4" s="1"/>
  <c r="M228" i="4"/>
  <c r="M227" i="4"/>
  <c r="K7" i="6"/>
  <c r="K6" i="6"/>
  <c r="I220" i="4"/>
  <c r="I222" i="4" s="1"/>
  <c r="I205" i="4"/>
  <c r="I207" i="4" s="1"/>
  <c r="I210" i="4" s="1"/>
  <c r="I227" i="4"/>
  <c r="I228" i="4"/>
  <c r="I318" i="4"/>
  <c r="I194" i="4"/>
  <c r="I223" i="4"/>
  <c r="I155" i="4"/>
  <c r="I156" i="4"/>
  <c r="J12" i="6"/>
  <c r="BK31" i="13" s="1"/>
  <c r="I195" i="4"/>
  <c r="G198" i="4"/>
  <c r="G300" i="4" s="1"/>
  <c r="BG77" i="13" s="1"/>
  <c r="G212" i="4"/>
  <c r="G296" i="4" s="1"/>
  <c r="BG73" i="13" s="1"/>
  <c r="G320" i="4"/>
  <c r="H22" i="6"/>
  <c r="H14" i="6"/>
  <c r="BG33" i="13" s="1"/>
  <c r="H25" i="6"/>
  <c r="C307" i="4"/>
  <c r="AY84" i="13" s="1"/>
  <c r="BG10" i="13" l="1"/>
  <c r="BG20" i="13" s="1"/>
  <c r="P45" i="17" s="1"/>
  <c r="BI10" i="13"/>
  <c r="AZ15" i="13"/>
  <c r="AZ12" i="13"/>
  <c r="AZ11" i="13"/>
  <c r="AY21" i="13"/>
  <c r="L32" i="17" s="1"/>
  <c r="AZ13" i="13"/>
  <c r="AZ14" i="13"/>
  <c r="AZ9" i="13"/>
  <c r="AZ17" i="13"/>
  <c r="AZ10" i="13"/>
  <c r="AZ16" i="13"/>
  <c r="J5" i="6"/>
  <c r="D28" i="6"/>
  <c r="AY22" i="13" s="1"/>
  <c r="E28" i="6"/>
  <c r="BA22" i="13" s="1"/>
  <c r="H304" i="4"/>
  <c r="BI81" i="13" s="1"/>
  <c r="BI17" i="13" s="1"/>
  <c r="H305" i="4"/>
  <c r="BI82" i="13" s="1"/>
  <c r="BI16" i="13" s="1"/>
  <c r="H319" i="4"/>
  <c r="H323" i="4" s="1"/>
  <c r="Q41" i="17" s="1"/>
  <c r="K18" i="6"/>
  <c r="G129" i="12"/>
  <c r="H129" i="12"/>
  <c r="F129" i="12"/>
  <c r="E130" i="12"/>
  <c r="I130" i="12" s="1"/>
  <c r="G319" i="4"/>
  <c r="G323" i="4" s="1"/>
  <c r="P41" i="17" s="1"/>
  <c r="M223" i="4"/>
  <c r="M157" i="4" s="1"/>
  <c r="M212" i="4" s="1"/>
  <c r="M296" i="4" s="1"/>
  <c r="BM73" i="13" s="1"/>
  <c r="M153" i="4"/>
  <c r="D310" i="4"/>
  <c r="CF68" i="13" s="1"/>
  <c r="M208" i="4"/>
  <c r="M322" i="4" s="1"/>
  <c r="M207" i="4"/>
  <c r="M210" i="4" s="1"/>
  <c r="M297" i="4" s="1"/>
  <c r="BM74" i="13" s="1"/>
  <c r="M318" i="4"/>
  <c r="M194" i="4"/>
  <c r="K12" i="6"/>
  <c r="BM31" i="13" s="1"/>
  <c r="M195" i="4"/>
  <c r="M156" i="4"/>
  <c r="M155" i="4"/>
  <c r="I208" i="4"/>
  <c r="I198" i="4"/>
  <c r="I300" i="4" s="1"/>
  <c r="BK77" i="13" s="1"/>
  <c r="J25" i="6"/>
  <c r="J14" i="6"/>
  <c r="BK33" i="13" s="1"/>
  <c r="J22" i="6"/>
  <c r="I321" i="4"/>
  <c r="I211" i="4"/>
  <c r="I295" i="4" s="1"/>
  <c r="BK72" i="13" s="1"/>
  <c r="I322" i="4"/>
  <c r="I297" i="4"/>
  <c r="BK74" i="13" s="1"/>
  <c r="I157" i="4"/>
  <c r="I214" i="4"/>
  <c r="I217" i="4" s="1"/>
  <c r="G305" i="4"/>
  <c r="BG82" i="13" s="1"/>
  <c r="BG16" i="13" s="1"/>
  <c r="G304" i="4"/>
  <c r="BG81" i="13" s="1"/>
  <c r="BG17" i="13" s="1"/>
  <c r="C310" i="4"/>
  <c r="CD68" i="13" s="1"/>
  <c r="P23" i="17" l="1"/>
  <c r="Q29" i="17"/>
  <c r="Q31" i="17"/>
  <c r="Q23" i="17"/>
  <c r="BI20" i="13"/>
  <c r="Q45" i="17" s="1"/>
  <c r="P31" i="17"/>
  <c r="P29" i="17"/>
  <c r="K5" i="6"/>
  <c r="K22" i="6"/>
  <c r="H306" i="4"/>
  <c r="BI83" i="13" s="1"/>
  <c r="BI15" i="13" s="1"/>
  <c r="BI18" i="13" s="1"/>
  <c r="BJ17" i="13" s="1"/>
  <c r="G306" i="4"/>
  <c r="BG83" i="13" s="1"/>
  <c r="BG15" i="13" s="1"/>
  <c r="H130" i="12"/>
  <c r="G130" i="12"/>
  <c r="F130" i="12"/>
  <c r="E131" i="12"/>
  <c r="I131" i="12" s="1"/>
  <c r="M214" i="4"/>
  <c r="M217" i="4" s="1"/>
  <c r="M320" i="4"/>
  <c r="M211" i="4"/>
  <c r="M295" i="4" s="1"/>
  <c r="BM72" i="13" s="1"/>
  <c r="M321" i="4"/>
  <c r="K25" i="6"/>
  <c r="K14" i="6"/>
  <c r="BM33" i="13" s="1"/>
  <c r="M198" i="4"/>
  <c r="M300" i="4" s="1"/>
  <c r="BM77" i="13" s="1"/>
  <c r="I292" i="4"/>
  <c r="BK69" i="13" s="1"/>
  <c r="I319" i="4"/>
  <c r="I212" i="4"/>
  <c r="I296" i="4" s="1"/>
  <c r="BK73" i="13" s="1"/>
  <c r="I320" i="4"/>
  <c r="BK10" i="13" l="1"/>
  <c r="BJ10" i="13"/>
  <c r="P28" i="17"/>
  <c r="BG18" i="13"/>
  <c r="BJ11" i="13"/>
  <c r="BI21" i="13"/>
  <c r="Q32" i="17" s="1"/>
  <c r="BJ12" i="13"/>
  <c r="BJ13" i="13"/>
  <c r="BJ14" i="13"/>
  <c r="BJ9" i="13"/>
  <c r="Q28" i="17"/>
  <c r="BJ15" i="13"/>
  <c r="BJ16" i="13"/>
  <c r="H307" i="4"/>
  <c r="BI84" i="13" s="1"/>
  <c r="H131" i="12"/>
  <c r="G131" i="12"/>
  <c r="F131" i="12"/>
  <c r="E132" i="12"/>
  <c r="I132" i="12" s="1"/>
  <c r="M319" i="4"/>
  <c r="M323" i="4" s="1"/>
  <c r="S41" i="17" s="1"/>
  <c r="M292" i="4"/>
  <c r="I304" i="4"/>
  <c r="BK81" i="13" s="1"/>
  <c r="BK17" i="13" s="1"/>
  <c r="R31" i="17" s="1"/>
  <c r="I305" i="4"/>
  <c r="BK82" i="13" s="1"/>
  <c r="BK16" i="13" s="1"/>
  <c r="I323" i="4"/>
  <c r="R41" i="17" s="1"/>
  <c r="G307" i="4"/>
  <c r="BK20" i="13" l="1"/>
  <c r="R45" i="17" s="1"/>
  <c r="R23" i="17"/>
  <c r="M304" i="4"/>
  <c r="BM81" i="13" s="1"/>
  <c r="BM17" i="13" s="1"/>
  <c r="BM69" i="13"/>
  <c r="BM10" i="13" s="1"/>
  <c r="H28" i="6"/>
  <c r="BG22" i="13" s="1"/>
  <c r="BG84" i="13"/>
  <c r="BH14" i="13"/>
  <c r="BH12" i="13"/>
  <c r="BG21" i="13"/>
  <c r="P32" i="17" s="1"/>
  <c r="BH11" i="13"/>
  <c r="BH13" i="13"/>
  <c r="BH9" i="13"/>
  <c r="BH10" i="13"/>
  <c r="BH17" i="13"/>
  <c r="BH16" i="13"/>
  <c r="BH15" i="13"/>
  <c r="R29" i="17"/>
  <c r="I28" i="6"/>
  <c r="BI22" i="13" s="1"/>
  <c r="H310" i="4"/>
  <c r="CN68" i="13" s="1"/>
  <c r="I306" i="4"/>
  <c r="BK83" i="13" s="1"/>
  <c r="BK15" i="13" s="1"/>
  <c r="H132" i="12"/>
  <c r="G132" i="12"/>
  <c r="F132" i="12"/>
  <c r="E133" i="12"/>
  <c r="I133" i="12" s="1"/>
  <c r="M305" i="4"/>
  <c r="BM82" i="13" s="1"/>
  <c r="BM16" i="13" s="1"/>
  <c r="G310" i="4"/>
  <c r="CL68" i="13" s="1"/>
  <c r="R28" i="17" l="1"/>
  <c r="BK18" i="13"/>
  <c r="BL15" i="13" s="1"/>
  <c r="S29" i="17"/>
  <c r="S23" i="17"/>
  <c r="BM20" i="13"/>
  <c r="S45" i="17" s="1"/>
  <c r="S31" i="17"/>
  <c r="M306" i="4"/>
  <c r="BM83" i="13" s="1"/>
  <c r="BM15" i="13" s="1"/>
  <c r="BM18" i="13" s="1"/>
  <c r="G133" i="12"/>
  <c r="H133" i="12"/>
  <c r="F133" i="12"/>
  <c r="E134" i="12"/>
  <c r="I134" i="12" s="1"/>
  <c r="I307" i="4"/>
  <c r="BK84" i="13" s="1"/>
  <c r="E35" i="6"/>
  <c r="BA40" i="13" s="1"/>
  <c r="G35" i="6"/>
  <c r="BE40" i="13" s="1"/>
  <c r="F35" i="6"/>
  <c r="BC40" i="13" s="1"/>
  <c r="H35" i="6"/>
  <c r="BG40" i="13" s="1"/>
  <c r="D35" i="6"/>
  <c r="AY40" i="13" s="1"/>
  <c r="I35" i="6"/>
  <c r="BI40" i="13" s="1"/>
  <c r="K35" i="6"/>
  <c r="BM40" i="13" s="1"/>
  <c r="BM21" i="13" l="1"/>
  <c r="S32" i="17" s="1"/>
  <c r="BN13" i="13"/>
  <c r="BN14" i="13"/>
  <c r="BN12" i="13"/>
  <c r="BN11" i="13"/>
  <c r="BN9" i="13"/>
  <c r="BN10" i="13"/>
  <c r="BN17" i="13"/>
  <c r="BN16" i="13"/>
  <c r="S28" i="17"/>
  <c r="BN15" i="13"/>
  <c r="BL17" i="13"/>
  <c r="BK21" i="13"/>
  <c r="R32" i="17" s="1"/>
  <c r="BL13" i="13"/>
  <c r="BL14" i="13"/>
  <c r="BL12" i="13"/>
  <c r="BL11" i="13"/>
  <c r="BL9" i="13"/>
  <c r="BL10" i="13"/>
  <c r="BL16" i="13"/>
  <c r="J28" i="6"/>
  <c r="BK22" i="13" s="1"/>
  <c r="K38" i="6"/>
  <c r="BM43" i="13" s="1"/>
  <c r="C4" i="6"/>
  <c r="U20" i="13" s="1"/>
  <c r="M307" i="4"/>
  <c r="BM84" i="13" s="1"/>
  <c r="G134" i="12"/>
  <c r="H134" i="12"/>
  <c r="F134" i="12"/>
  <c r="E135" i="12"/>
  <c r="I135" i="12" s="1"/>
  <c r="I310" i="4"/>
  <c r="CP68" i="13" s="1"/>
  <c r="H4" i="6"/>
  <c r="G4" i="6"/>
  <c r="F4" i="6"/>
  <c r="E4" i="6"/>
  <c r="I4" i="6"/>
  <c r="D4" i="6"/>
  <c r="M310" i="4" l="1"/>
  <c r="CR68" i="13" s="1"/>
  <c r="K28" i="6"/>
  <c r="BM22" i="13" s="1"/>
  <c r="G135" i="12"/>
  <c r="H135" i="12"/>
  <c r="F135" i="12"/>
  <c r="E136" i="12"/>
  <c r="I136" i="12" s="1"/>
  <c r="J4" i="6" l="1"/>
  <c r="K4" i="6"/>
  <c r="H136" i="12"/>
  <c r="G136" i="12"/>
  <c r="F136" i="12"/>
  <c r="E137" i="12"/>
  <c r="I137" i="12" s="1"/>
  <c r="G137" i="12" l="1"/>
  <c r="H137" i="12"/>
  <c r="F137" i="12"/>
  <c r="E138" i="12"/>
  <c r="I138" i="12" s="1"/>
  <c r="H138" i="12" l="1"/>
  <c r="G138" i="12"/>
  <c r="F138" i="12"/>
  <c r="E139" i="12"/>
  <c r="I139" i="12" s="1"/>
  <c r="H139" i="12" l="1"/>
  <c r="G139" i="12"/>
  <c r="F139" i="12"/>
  <c r="E140" i="12"/>
  <c r="I140" i="12" s="1"/>
  <c r="H140" i="12" l="1"/>
  <c r="G140" i="12"/>
  <c r="F140" i="12"/>
  <c r="E141" i="12"/>
  <c r="I141" i="12" s="1"/>
  <c r="G141" i="12" l="1"/>
  <c r="H141" i="12"/>
  <c r="F141" i="12"/>
  <c r="E142" i="12"/>
  <c r="I142" i="12" s="1"/>
  <c r="G142" i="12" l="1"/>
  <c r="H142" i="12"/>
  <c r="F142" i="12"/>
  <c r="E143" i="12"/>
  <c r="I143" i="12" s="1"/>
  <c r="G143" i="12" l="1"/>
  <c r="H143" i="12"/>
  <c r="F143" i="12"/>
  <c r="E144" i="12"/>
  <c r="E145" i="12" l="1"/>
  <c r="I145" i="12" s="1"/>
  <c r="I144" i="12"/>
  <c r="H144" i="12"/>
  <c r="G144" i="12"/>
  <c r="F144" i="12"/>
  <c r="G145" i="12" l="1"/>
  <c r="H145" i="12"/>
  <c r="E146" i="12"/>
  <c r="I146" i="12" s="1"/>
  <c r="I113" i="12" s="1"/>
  <c r="F145" i="12"/>
  <c r="G146" i="12"/>
  <c r="F146" i="12"/>
  <c r="F43" i="12"/>
  <c r="F96" i="12"/>
  <c r="H146" i="12" l="1"/>
  <c r="H113" i="12" s="1"/>
  <c r="U23" i="13" s="1"/>
  <c r="G113" i="12"/>
  <c r="U24" i="13" s="1"/>
  <c r="G12" i="17" s="1"/>
  <c r="G112" i="12"/>
  <c r="U26" i="13" l="1"/>
  <c r="U25" i="13"/>
</calcChain>
</file>

<file path=xl/sharedStrings.xml><?xml version="1.0" encoding="utf-8"?>
<sst xmlns="http://schemas.openxmlformats.org/spreadsheetml/2006/main" count="2367" uniqueCount="1699">
  <si>
    <t>Cobertura del servicio [%]</t>
  </si>
  <si>
    <t>Comentarios Bolivia</t>
  </si>
  <si>
    <t>Indicación</t>
  </si>
  <si>
    <t>% de la población servida por el servicio de recolección</t>
  </si>
  <si>
    <t>Días de generación [días/semana]</t>
  </si>
  <si>
    <t>Comentarios Dorian</t>
  </si>
  <si>
    <t>Tomar en cuenta que es definido por % PESO</t>
  </si>
  <si>
    <t>Densidad de RS orgánicos [kg/m3]</t>
  </si>
  <si>
    <t>Densidad de RS metales [kg/m3]</t>
  </si>
  <si>
    <t>Densidad de RS plásticos [kg/m3]</t>
  </si>
  <si>
    <t>Densidad de RS vidrios [kg/m3]</t>
  </si>
  <si>
    <t>Volumen de vehículo de transferencia [m3]</t>
  </si>
  <si>
    <t>Distancia promedio entre parqueo y primer punto de recolección [km]</t>
  </si>
  <si>
    <t>Distancia promedio de estación de transferencia a sitio de disposición final [km]</t>
  </si>
  <si>
    <t>Personal</t>
  </si>
  <si>
    <t>Días de vacaciones por año [días/año]</t>
  </si>
  <si>
    <t>Se completa como promedio por cada empleado/a</t>
  </si>
  <si>
    <t>Días laborales por año [días/año]</t>
  </si>
  <si>
    <t>Recolección</t>
  </si>
  <si>
    <t>Factor correctivo de distancia []</t>
  </si>
  <si>
    <t>Cálculos</t>
  </si>
  <si>
    <t>Toma en cuenta la cobertura del servicio</t>
  </si>
  <si>
    <t>Cantidad de RS domiciliares a gestionar en días laborales [kg/día]</t>
  </si>
  <si>
    <t>Cantidad de RS no domiciliares a gestionar en días laborales [kg/día]</t>
  </si>
  <si>
    <t>Toma en cuenta la cobertura y la generación no domiciliar como una fracción de la generación domiciliar</t>
  </si>
  <si>
    <t>Familias equivalentes [familias]</t>
  </si>
  <si>
    <t>Superficie de zona considerada [km2]</t>
  </si>
  <si>
    <t>Densidad de población equivalente [personas/km2]</t>
  </si>
  <si>
    <t>Considera generación no domiciliar</t>
  </si>
  <si>
    <t>Densidad de carretera [km/km2]</t>
  </si>
  <si>
    <t>Vinti, Giovanni:
for these "first attempt values" see: 
- Zhao et al., 2017. Spatial and Temporal Characteristics of Road Networks and Urban Expansion. Land, 6, 30; doi:10.3390/land6020030
- Zhang et al., 2015. Density and diversity of OpenStreetMap road networks in China. Journal of Urban Management, 4, 135–146</t>
  </si>
  <si>
    <t>Población equivalente por km de carretera [personas/km]</t>
  </si>
  <si>
    <t>Numero de paradas requeridas []</t>
  </si>
  <si>
    <t>Personas por parada [personas]</t>
  </si>
  <si>
    <t>Paradas por km [paradas/km]</t>
  </si>
  <si>
    <t>Distancia promedio entre 2 paradas [km]</t>
  </si>
  <si>
    <t>Volumen del camión utilizado para la recolección [m3]</t>
  </si>
  <si>
    <t>Numero de paradas de recolección [paradas]</t>
  </si>
  <si>
    <t>Viajes necesarios por semana [viaje/semana]</t>
  </si>
  <si>
    <t>Estimación de tiempos desde la zona de recolección a la estación de transferencia o espacio de disposición final</t>
  </si>
  <si>
    <t>Tiempo de cada parada para recoger RS [minutos]</t>
  </si>
  <si>
    <t>Tiempo total necesario para recogida de RS [minutos]</t>
  </si>
  <si>
    <t>Tiempo necesario fuera de la zona urbana ida y vuelta [horas]</t>
  </si>
  <si>
    <t>Tiempo necesario fuera de la zona urbana ida y vuelta [minutos]</t>
  </si>
  <si>
    <t>Tiempo para vaciar camión recolector en estación de transferencia [minutos]</t>
  </si>
  <si>
    <t>Tasa de disponibilidad de tiempo de equipo de recolección [%]</t>
  </si>
  <si>
    <t>from the original model of Coffey and Coad</t>
  </si>
  <si>
    <t>Cantidad de camiones de recolección necesarios NO RONDEADO [camiones]</t>
  </si>
  <si>
    <t>Esto tambien puede ser un indicador. Es bueno que el valor no rondeado este muy cerca del valor rondeado. Se rondea al multiple de 1 superior. Si por ejemplo tenermo 3.1, se necesitan 4 camiones pero 1 sera muy poco utilizado.</t>
  </si>
  <si>
    <t>Tasa de indisponibilidad de camiones de recolección [%]</t>
  </si>
  <si>
    <t>Estimación de tiempos de transferencia hacia sitio de disposición final</t>
  </si>
  <si>
    <t>Cantidad de viajes requeridos semanalmente [viajes/semana]</t>
  </si>
  <si>
    <t>Tiempo para llenar camiones de transferencia en la estación de transferencia [minutos]</t>
  </si>
  <si>
    <t>Tiempo para vaciar camiones de transferencia en sitio de disposición final [minutos]</t>
  </si>
  <si>
    <t>Tiempo requerido por viaje ida y vuelta [minutos]</t>
  </si>
  <si>
    <t>Tiempo total requerido por viaje [minutos]</t>
  </si>
  <si>
    <t>Tiempo total requerido por viaje [horas]</t>
  </si>
  <si>
    <t>Cantidad de viajes semanales [viajes/semana]</t>
  </si>
  <si>
    <t>Promedio de familias recolectadas en cada parada del camión recolector [familias/parada]</t>
  </si>
  <si>
    <t>Estimación de camiones recolectores necesarios y costos relacionados</t>
  </si>
  <si>
    <t>Estimación de camiones de transferencia necesarios y costos relacionados</t>
  </si>
  <si>
    <t>Cantidad de camiones de transferencia necesarios [camiones]</t>
  </si>
  <si>
    <t>Tasa de indisponibilidad de camiones de transferencia [%]</t>
  </si>
  <si>
    <t>Cantidad de camiones de transferencia necesarios NO RONDEADO [camiones]</t>
  </si>
  <si>
    <t>Cantidad de camiones de transferencia necesarios considerando incremento de precaución [camiones]</t>
  </si>
  <si>
    <t>Estimación de costos de estación de transferencia</t>
  </si>
  <si>
    <t>Cantidad de estaciones de transferencias</t>
  </si>
  <si>
    <t>Cantidad de choferes de camiones de recolección</t>
  </si>
  <si>
    <t>Cantidad de choferes de camiones de transferencia</t>
  </si>
  <si>
    <t>Estimación de costos de salarios, prestaciones y equipamientos laboral</t>
  </si>
  <si>
    <t>Cantidad total de ayudantes recolectores</t>
  </si>
  <si>
    <t>Cantidad total de choferes</t>
  </si>
  <si>
    <t>Cantidad total de ayudantes</t>
  </si>
  <si>
    <t>Cantidad de personal por estación de transferencia</t>
  </si>
  <si>
    <t>Talvez hace falta personal jefe de equipo? O esta dentro de costos administrativos - dentro del analisis de escenarios se hace la hipotesis que este costo es identico y por eso no se ha agregado en un inicio</t>
  </si>
  <si>
    <t>Distancia semana de recolección [km/semana]</t>
  </si>
  <si>
    <t>Distancia semanal de estación de transferencia a disposición final [km/semana]</t>
  </si>
  <si>
    <t>Estimación de costos de disposición final</t>
  </si>
  <si>
    <t>Toneladas anuales depositadas [ton/año]</t>
  </si>
  <si>
    <t>RESUMEN de costos</t>
  </si>
  <si>
    <t>RESUMEN DATOS CLAVES</t>
  </si>
  <si>
    <t>Toneladas anuales depositadas en sitio de disposición final [ton/año]</t>
  </si>
  <si>
    <t>Toneladas anuales de residuos orgánicos gestionados de forma diferenciada [ton/año]</t>
  </si>
  <si>
    <t>Toneladas anuales de reciclables gestionados de forma diferenciada [ton/año]</t>
  </si>
  <si>
    <t>Considero que hace falta el costo de operación y mantenimiento de la planta - se consideró personal unicamente: luz, agua, limpieza, equipos?</t>
  </si>
  <si>
    <t>Consumo de combustible [L/año]</t>
  </si>
  <si>
    <t>Lo añadí solo como un indicador ambiental y de cambio climatico!</t>
  </si>
  <si>
    <t>Longitud corregida de carretera total a recolectar [km]</t>
  </si>
  <si>
    <t>Contenedores por km [contenedor/km]</t>
  </si>
  <si>
    <t>Cantidad de contenedores vaciados por viaje [unidades]</t>
  </si>
  <si>
    <t>Estimación de costos administrativos</t>
  </si>
  <si>
    <t>Porcentaje del total de costos anuales [%]</t>
  </si>
  <si>
    <t>No hay literatura al respecto, se deberá verificar con la experiencia los valores indicados
Mi consideración es que depende de las ciudades y de los recoridos. Si en casa por casa hace que el camión entre en más calles entonces 1.2 de corrección es justificado. Esto podria moverse en espacio de modificaciones avanzadas.</t>
  </si>
  <si>
    <t>Valores indicativos:
Nivel 1: 15km/km2
Nivel 2: 4 km/km2
Nivel 3: 1 km/km2
Nivel 4: 0.2 km/km2
Se puede calcular con la longitud total de carretera por superficie considerada</t>
  </si>
  <si>
    <t>En la herramienta original se utilizaba una tasa de diferencia de compactación entre camión compactador y camión de transferencia. Aquí en el calculo he simplificado utilizando una densidad en vehiculos de transferencia (en datos ingresados es 1.25*densidad suelta)</t>
  </si>
  <si>
    <t>Este rango se puede definir mejor con la experiencia. En este caso el volumen de contenedores disponible y/o la cantidad de personas por parada define la distancia.</t>
  </si>
  <si>
    <t>Desechos</t>
  </si>
  <si>
    <t>Reciclables</t>
  </si>
  <si>
    <t>Orgánicos</t>
  </si>
  <si>
    <t>Densidad de RS otros &amp; desechos [kg/m3]</t>
  </si>
  <si>
    <t>Si</t>
  </si>
  <si>
    <t>No</t>
  </si>
  <si>
    <t>Este calculo se puede simplificar: L=%cobertura*densidadcarreteras*superficie</t>
  </si>
  <si>
    <t>Comentarios Adeline</t>
  </si>
  <si>
    <t>Densidad de RS papel y cartón [kg/m3]</t>
  </si>
  <si>
    <t>Densidad de RS reciclables mesclados (papel, cartón, metales, plásticos, vidrios) [kg/m3]</t>
  </si>
  <si>
    <t>Prueba lógica de segregación de material especifico</t>
  </si>
  <si>
    <t>Porción adicional de desechos debido a la eficiencia y/o a la no gestión de una fracción [kg/semana]</t>
  </si>
  <si>
    <t>He modificado el modelo original para que si la eficiencia no es 100% entonces los reciclables que se "pierden" por no ser clasificados bien van dentro de la gestión como "desecho" Igual para compost</t>
  </si>
  <si>
    <t>Aquí utiliza el mismo tipo de camión para todas las fracciones, esto puede ser un punto de verificación necesario si se utilizan contenedores de tamaños diferenes o camiones diferentes por tipo de residuo.</t>
  </si>
  <si>
    <t>Porcentaje de materia colectada de forma diferenciada que va a sitio de disposición final [%]</t>
  </si>
  <si>
    <t>Estimación de costos de compostaje</t>
  </si>
  <si>
    <t>Toneladas anuales entrantes [ton/año]</t>
  </si>
  <si>
    <t>Toneladas de compost producidas [ton/año]</t>
  </si>
  <si>
    <t>Eficiencia de planta [%]</t>
  </si>
  <si>
    <t>Toneladas de material que se deben llevar al sitio de disposición final [ton/año]</t>
  </si>
  <si>
    <t>Hay una limitante ahora en la herramienta es que no se pueden comparar escenarios que si tienen estación de transferencia con unos que no tienen en el mismo spreadsheet por la distancia entre ultimo punto de recolección y sitio de disposición final o centro de transferencia que es identico en el modelo. Se podria mejorar esta parte si util. Se puede comparar estas opciones utilizando 2 documentos excel en paralelo.</t>
  </si>
  <si>
    <t>Los reciclables vienen mesclados, hay que separarlos</t>
  </si>
  <si>
    <t>Me parece que está forma de incluir los residuos no domiciliares es buena y sencilla. Sin embargo, necesita definirse el % común en el contexto de Bolivia</t>
  </si>
  <si>
    <t>Definir valores indicativos en base a experiencia o methodo de verificación en base a distancia entre paradas del camión</t>
  </si>
  <si>
    <t>Valores de "A GIS based model for the optimisation of municipal solid waste
collection: the case study of Nikea, Athens, Greece" (2009)</t>
  </si>
  <si>
    <t>Si las cantidades de contenedores por tipo de residuos son muy distintas entonces la cantidad estimada necesaria puede ser muy por encima de lo realmente necesario. Muchos contenedores no se usarán como previsto sino menos. Esto implica que un camión puede colectar más contenedores por viaje porque no están llenos.</t>
  </si>
  <si>
    <t>El costo administrativo municipal se calculo como una fracción del costo total. Verificar si hay forma de hacerlo más preciso.
Incluye: oficinas, personal administrativo, gastos adminstrativos, personal de supervisión, cobro y fizcalización, planificación, otros?</t>
  </si>
  <si>
    <t>Cantidad de personas empleadas en cargo específico</t>
  </si>
  <si>
    <t>Prestación del servicio</t>
  </si>
  <si>
    <t>…</t>
  </si>
  <si>
    <t>Servicio de recolección</t>
  </si>
  <si>
    <t>Cantidad []</t>
  </si>
  <si>
    <t>Planta de compostaje</t>
  </si>
  <si>
    <t>Contenedores</t>
  </si>
  <si>
    <t>Palas</t>
  </si>
  <si>
    <t>Escobas</t>
  </si>
  <si>
    <t>Tiempo de vida [años]</t>
  </si>
  <si>
    <t>Agua</t>
  </si>
  <si>
    <t>Luz</t>
  </si>
  <si>
    <t>Planificación y fiscalización del servicio</t>
  </si>
  <si>
    <t>Educación y comunicación</t>
  </si>
  <si>
    <t>Pendiente de desarollar calculos o estimación, se entrá valor manualmente según datos de literatura por ahora - ADELINE MIRA COMO EVALUARLO - probablemente costo por km de carretera</t>
  </si>
  <si>
    <t>Computadora</t>
  </si>
  <si>
    <t>Impresora</t>
  </si>
  <si>
    <t>Servidor</t>
  </si>
  <si>
    <t>Seguro vehículos</t>
  </si>
  <si>
    <t>Hay costos de gestión municipal que son debidos a GRS y que se deben de considerar aquí, ver como se puede hacer el calculo facilmente. Talvez algun % definido en función de tamaño de municipio?</t>
  </si>
  <si>
    <t>Listas desplegables</t>
  </si>
  <si>
    <t>Porcentaje aplicado [%]</t>
  </si>
  <si>
    <t>Planta de clasificación</t>
  </si>
  <si>
    <t>Gerente general</t>
  </si>
  <si>
    <t>Servicio de internet</t>
  </si>
  <si>
    <t>Gasolina</t>
  </si>
  <si>
    <t>GNV</t>
  </si>
  <si>
    <t>Estación de transferencia</t>
  </si>
  <si>
    <t>Electricidad</t>
  </si>
  <si>
    <t>Por defecto = 7</t>
  </si>
  <si>
    <t>Por defecto = 161</t>
  </si>
  <si>
    <t>Por defecto = 300</t>
  </si>
  <si>
    <t>Por defecto = 200</t>
  </si>
  <si>
    <t>Por defecto = 1200</t>
  </si>
  <si>
    <t>Por defecto = 50</t>
  </si>
  <si>
    <t>Por defecto = 800</t>
  </si>
  <si>
    <t>Por defecto = 1.1</t>
  </si>
  <si>
    <t>Por defecto = 8</t>
  </si>
  <si>
    <t>Por defecto = 5</t>
  </si>
  <si>
    <t>Por defecto = 20</t>
  </si>
  <si>
    <t>Por defecto = 0.45</t>
  </si>
  <si>
    <t>Por defecto = 0.3</t>
  </si>
  <si>
    <t>Por defecto = 0%</t>
  </si>
  <si>
    <t>Cantidad de trabajadores/as totales en estación de transferencia</t>
  </si>
  <si>
    <t>Por defecto = 2</t>
  </si>
  <si>
    <t>Por defecto = 0</t>
  </si>
  <si>
    <t>Por defecto = 5%</t>
  </si>
  <si>
    <t>Por defecto = 0.6</t>
  </si>
  <si>
    <t>Estimación de costos blandos (formación, educación, comunicación)</t>
  </si>
  <si>
    <t>He totalmente simplificado el costo de compostaje, en el modelo original se tiene un detalle mucho más amplio pero muy dificil de completar y no contempla todos los costos.
El costo por tonelada es una indicación en EE.UU (EPA) en 1998: 30 Bs /ton para organicos de residuos municipales. En Bolivia 25 Bs / ton?
Lo mejor seria encontrar una planta modelo en Bolivia y tener su costo por tonelada (y ingresos de venta) para hacer el balance aquí</t>
  </si>
  <si>
    <t>El costo en EE.UU: 20-70 Bs por ton, incluyendo transporte pero este dato es viejo, se necesitan datos actualizados y especificos para Bolivia. Lo que esto deberia incluir según este modelo es todo lo que se hace despues que el camión con los reciclables los deposita en el centro de transferencia o planta dedicada a la gestión de reciclables: CAPEX &amp; OPEX</t>
  </si>
  <si>
    <t>Costo anual total [Bs/año]</t>
  </si>
  <si>
    <t>Por defecto = 12</t>
  </si>
  <si>
    <t>Por defecto solo hay 1 estación</t>
  </si>
  <si>
    <t>Verificación distancia de paradas [km]</t>
  </si>
  <si>
    <t>Una distancia corta significa que la recolección es casa por casa, una distancia mayor es de esquina en esquina dependiendo de la densidad poblacional del sitio considerado</t>
  </si>
  <si>
    <t>Aplica cuando no hay estación de transferencia</t>
  </si>
  <si>
    <t>Aplica cuando hay estación de transferencia</t>
  </si>
  <si>
    <t>Distancia [km]</t>
  </si>
  <si>
    <t>Guía preliminar</t>
  </si>
  <si>
    <t>Uso de modelo de costos de Gestión de Residuos Sólidos y cálculo de costos reales</t>
  </si>
  <si>
    <r>
      <t>-</t>
    </r>
    <r>
      <rPr>
        <sz val="7"/>
        <color theme="1"/>
        <rFont val="Times New Roman"/>
        <family val="1"/>
      </rPr>
      <t xml:space="preserve">        </t>
    </r>
    <r>
      <rPr>
        <sz val="11"/>
        <color theme="1"/>
        <rFont val="Calibri"/>
        <family val="2"/>
        <scheme val="minor"/>
      </rPr>
      <t>La cantidad</t>
    </r>
  </si>
  <si>
    <r>
      <t>-</t>
    </r>
    <r>
      <rPr>
        <sz val="7"/>
        <color theme="1"/>
        <rFont val="Times New Roman"/>
        <family val="1"/>
      </rPr>
      <t xml:space="preserve">        </t>
    </r>
    <r>
      <rPr>
        <sz val="11"/>
        <color theme="1"/>
        <rFont val="Calibri"/>
        <family val="2"/>
        <scheme val="minor"/>
      </rPr>
      <t>El costo unitario</t>
    </r>
  </si>
  <si>
    <r>
      <t>-</t>
    </r>
    <r>
      <rPr>
        <sz val="7"/>
        <color theme="1"/>
        <rFont val="Times New Roman"/>
        <family val="1"/>
      </rPr>
      <t xml:space="preserve">        </t>
    </r>
    <r>
      <rPr>
        <sz val="11"/>
        <color theme="1"/>
        <rFont val="Calibri"/>
        <family val="2"/>
        <scheme val="minor"/>
      </rPr>
      <t>La dedicación a la gestión de residuos sólidos</t>
    </r>
  </si>
  <si>
    <r>
      <t>-</t>
    </r>
    <r>
      <rPr>
        <sz val="7"/>
        <color theme="1"/>
        <rFont val="Times New Roman"/>
        <family val="1"/>
      </rPr>
      <t xml:space="preserve">        </t>
    </r>
    <r>
      <rPr>
        <sz val="11"/>
        <color theme="1"/>
        <rFont val="Calibri"/>
        <family val="2"/>
        <scheme val="minor"/>
      </rPr>
      <t>El tiempo de vida</t>
    </r>
  </si>
  <si>
    <t>Importante:</t>
  </si>
  <si>
    <r>
      <t>o</t>
    </r>
    <r>
      <rPr>
        <sz val="7"/>
        <color theme="1"/>
        <rFont val="Times New Roman"/>
        <family val="1"/>
      </rPr>
      <t xml:space="preserve">   </t>
    </r>
    <r>
      <rPr>
        <sz val="11"/>
        <color theme="1"/>
        <rFont val="Calibri"/>
        <family val="2"/>
        <scheme val="minor"/>
      </rPr>
      <t>Puede modificar los títulos de los costos y todos los datos relativos a estos</t>
    </r>
  </si>
  <si>
    <r>
      <t>o</t>
    </r>
    <r>
      <rPr>
        <sz val="7"/>
        <color theme="1"/>
        <rFont val="Times New Roman"/>
        <family val="1"/>
      </rPr>
      <t xml:space="preserve">   </t>
    </r>
    <r>
      <rPr>
        <sz val="11"/>
        <color theme="1"/>
        <rFont val="Calibri"/>
        <family val="2"/>
        <scheme val="minor"/>
      </rPr>
      <t>Puede agregar nuevas líneas donde se indica “otros..”</t>
    </r>
  </si>
  <si>
    <r>
      <t>-</t>
    </r>
    <r>
      <rPr>
        <sz val="7"/>
        <color theme="1"/>
        <rFont val="Times New Roman"/>
        <family val="1"/>
      </rPr>
      <t xml:space="preserve">        </t>
    </r>
    <r>
      <rPr>
        <sz val="11"/>
        <color theme="1"/>
        <rFont val="Calibri"/>
        <family val="2"/>
        <scheme val="minor"/>
      </rPr>
      <t>No se pueden modificar las formulas, solamente se pueden y deben de modificar casillas en fondo blanco.</t>
    </r>
  </si>
  <si>
    <r>
      <t>-</t>
    </r>
    <r>
      <rPr>
        <sz val="7"/>
        <color theme="1"/>
        <rFont val="Times New Roman"/>
        <family val="1"/>
      </rPr>
      <t xml:space="preserve">        </t>
    </r>
    <r>
      <rPr>
        <sz val="11"/>
        <color theme="1"/>
        <rFont val="Calibri"/>
        <family val="2"/>
        <scheme val="minor"/>
      </rPr>
      <t>Se tiene un espacio de retroalimentación al lado derecho de la tabla de ingreso de datos que pueden utilizar para luego enviar a las personas responsables de la herramienta para mejorarlas y adaptarla si fuera necesario.</t>
    </r>
  </si>
  <si>
    <t>El usuario debe de verificar que ha entrado correctamente la información y que sea representativa del sitio para el cual se calculan los costos reales.</t>
  </si>
  <si>
    <t>Parte 2 – modelización de costos</t>
  </si>
  <si>
    <t>La segunda parte de la herramienta permite la estimación de costos de gestión de residuos sólidos para diferentes escenarios de recolección posibles. Estos escenarios son los siguientes:</t>
  </si>
  <si>
    <r>
      <t>-</t>
    </r>
    <r>
      <rPr>
        <sz val="7"/>
        <color theme="1"/>
        <rFont val="Times New Roman"/>
        <family val="1"/>
      </rPr>
      <t xml:space="preserve">        </t>
    </r>
    <r>
      <rPr>
        <sz val="11"/>
        <color theme="1"/>
        <rFont val="Calibri"/>
        <family val="2"/>
        <scheme val="minor"/>
      </rPr>
      <t>Recolección con contenedores</t>
    </r>
  </si>
  <si>
    <r>
      <t>-</t>
    </r>
    <r>
      <rPr>
        <sz val="7"/>
        <color theme="1"/>
        <rFont val="Times New Roman"/>
        <family val="1"/>
      </rPr>
      <t xml:space="preserve">        </t>
    </r>
    <r>
      <rPr>
        <sz val="11"/>
        <color theme="1"/>
        <rFont val="Calibri"/>
        <family val="2"/>
        <scheme val="minor"/>
      </rPr>
      <t>Recolección con contenedores diferenciados (orgánicos, reciclables y desechos)</t>
    </r>
  </si>
  <si>
    <t>Primera etapa</t>
  </si>
  <si>
    <t>Dentro de los datos que hay que informar, unos de estos pueden ser más complicado en determinar:</t>
  </si>
  <si>
    <t>Segunda etapa</t>
  </si>
  <si>
    <t>El usuario tiene opción de modificar algunos datos dentro de la parte de cálculos – se recomienda no modificar estos datos al menos de identificar una necesidad específica y un uso especializado de la herramienta.</t>
  </si>
  <si>
    <t>Limitaciones de la herramienta</t>
  </si>
  <si>
    <t>La herramienta únicamente contempla un tipo de camión único para la recolección y otro tipo de camión para el transporte desde la estación de transferencia. Si el usuario desea comparar costos con distintos tipos de camiones, se deben de realizar en 2 documentos distintos modificando los parámetros de los camiones.</t>
  </si>
  <si>
    <t>Adicionalmente, en el caso que se requiera la modelización con varios tipos de camiones, se recomienda utilizar la herramienta por barrio – esto es viable únicamente para ciudades grandes en donde los servicios pueden ser distintos para cada barrio.</t>
  </si>
  <si>
    <t>Para ciudades pequeñas, se recomienda realizar la modelización con únicamente un tipo de camión. En muchos casos existen formas de gestionar residuos sólidos con distintos vehículos: volqueta, pick-up, compactador etc y se usan en función de las necesidades específicas. En la modelización propuesta, no es necesario indicar tanto detalle y la selección de un camión es suficiente. Si se quiere comparar los datos de la modelización con datos reales, utilizar los datos del vehículo más utilizado para la recogida de RS.</t>
  </si>
  <si>
    <t>En ningún caso se debe de tomar decisiones únicamente en base a los resultados de la herramienta. Esta da indicaciones sobre costos, pero no define de forma precisa como debería ser el servicio de gestión de residuos sólidos. En particular, el detalle de los vehículos necesarios debe de analizarse más a profundidad y optimizarse con una planificación que sale de las posibilidades de esta herramienta.</t>
  </si>
  <si>
    <t>Por defecto = 100</t>
  </si>
  <si>
    <t>Por defecto = 140</t>
  </si>
  <si>
    <t>Por defecto = 14</t>
  </si>
  <si>
    <t>¡Cordial bienvenida a la herramienta de costeo de servicios de gestión de residuos sólidos municipales!</t>
  </si>
  <si>
    <t>La herramienta contiene los siguientes elementos:</t>
  </si>
  <si>
    <t>¡Toma de decisiones – ATENCION!</t>
  </si>
  <si>
    <t>Diésel</t>
  </si>
  <si>
    <t>Administración del servicio</t>
  </si>
  <si>
    <t>Total de la población del municipio o zona</t>
  </si>
  <si>
    <t>Generación domiciliar de RS diaria</t>
  </si>
  <si>
    <t>Si no se conocen los datos locales, utilizar valores de literatura los más representativos del contexto</t>
  </si>
  <si>
    <t>Densidad de RS mixtos en vehículo de transferencia [kg/m3]</t>
  </si>
  <si>
    <t>Si es un compactador la tasa es &gt;2, para un camión sin compactación la tasa indicativa es 1.2-1.5</t>
  </si>
  <si>
    <t>Vehículos utilizados de la estación de transferencia hacia la disposición final</t>
  </si>
  <si>
    <t>Consumo de gasolina/diésel de vehículos de transferencia [L/km]</t>
  </si>
  <si>
    <t>Distancia promedio desde el último punto de recolección hacia estación de transferencia [km]</t>
  </si>
  <si>
    <t>Por defecto = mismo sitio que estación de transferencia</t>
  </si>
  <si>
    <t>Velocidad promedio en zonas urbanas para vehículos de recolección [km/h]</t>
  </si>
  <si>
    <t>Velocidad promedio fuera de zonas urbanas para vehículos de recolección [km/h]</t>
  </si>
  <si>
    <t>Velocidad promedio de fuera de zonas urbanas para vehículos de transferencia [km/h]</t>
  </si>
  <si>
    <t>Se utiliza siempre 1 si hay contenedores
Se utiliza 1 si es por esquinas, se utiliza 1.2 si es casa por casa.</t>
  </si>
  <si>
    <t>Definición de distancia de recolección y cantidad de RS a recolectar</t>
  </si>
  <si>
    <t>Generación domiciliar diaria total [kg/día]</t>
  </si>
  <si>
    <t>Generación no domiciliar diaria total [kg/día]</t>
  </si>
  <si>
    <t>Generación diaria total [kg/día]</t>
  </si>
  <si>
    <t>Población equivalente por contenedor o punto de colecta (caso separativo) [personas/contenedor]</t>
  </si>
  <si>
    <t>Distancia promedia recorrida para cada viaje [km]</t>
  </si>
  <si>
    <t>Distancia total recorrida por semana [km/semana]</t>
  </si>
  <si>
    <t>Tiempo necesario por viaje para recorrido en zona urbana [horas]</t>
  </si>
  <si>
    <t>Cantidad de viajes por turnos de trabajo diario [viajes]</t>
  </si>
  <si>
    <t>Cantidad de viajes por turnos de trabajo diario NO RONDEADO [viajes]</t>
  </si>
  <si>
    <t>Cantidad de ayudantes por camión recolector</t>
  </si>
  <si>
    <t>Cantidad de ayudantes por camión de transferencia</t>
  </si>
  <si>
    <t>Cantidad total de personal en centro de transferencia</t>
  </si>
  <si>
    <t>Toneladas de material reciclable entrante anualmente [ton/año]</t>
  </si>
  <si>
    <t>Toneladas de material reciclable que se puede vender anualmente [ton/año]</t>
  </si>
  <si>
    <t>Frecuencia del servicio por semana [limpiezas/semana]</t>
  </si>
  <si>
    <t>Estimación de costos de uso de vehículos y amortización (vehículos y estación de transferencia)</t>
  </si>
  <si>
    <t>Se agrega numero de versión en pestaña "Info"</t>
  </si>
  <si>
    <t>Modificaciones en versión 21_02_16</t>
  </si>
  <si>
    <t>-      Se pueden agregar, modificar o eliminar filas.</t>
  </si>
  <si>
    <t>Modificaciones ligeras en pestaña "0) Guía"</t>
  </si>
  <si>
    <t>Re-organización de categorias y sub-categorias en pestaña "1) Costos Reales"</t>
  </si>
  <si>
    <t>Modificación de formula para calculo de n°camiones - se utiliza numero no rondeado e aplica tasa de indisponibilidad a ese numero</t>
  </si>
  <si>
    <t>Valor por defecto de eficiencia de separación modificado de 100% a 80%, más realista</t>
  </si>
  <si>
    <t>El calculo de la cuantidad de choferes y ayudantes necesarios para el caso de la recolección diferenciada ahora toma en cuanta que no es siempre necesario un chofer por camión ni dos ayudantes por camión. Como hay minimo 1 camión para cada tipo de material recolectado, es possible que el mismo personal recolecte por ejemplo organicos y reciclable - con 2 camiones diferentes en el tiempo laboral autorizado.</t>
  </si>
  <si>
    <t>Frequencia de limpieza de calles disminuida de 2 veces por semana a 1 vez por semana.</t>
  </si>
  <si>
    <t>Casa por casa</t>
  </si>
  <si>
    <t>Esquinas</t>
  </si>
  <si>
    <t>Volumen de los contenedores de residuos mixtos (desechos) [m3]</t>
  </si>
  <si>
    <t>Tasa promedio de llenado de contenedores de residuos mixtos (desechos) [%]</t>
  </si>
  <si>
    <t>Volumen de los contenedores de reciclables [m3]</t>
  </si>
  <si>
    <t>Tasa promedio de llenado de contenedores de reciclables [%]</t>
  </si>
  <si>
    <t>Correcciones de distancias y tiempos necesarios</t>
  </si>
  <si>
    <t>Modificaciones al ingreso de datos de la pestaña de escenarios:
 - varias lineas de calculos se movieron para simplificar la visualización
- ahora solamente se selecciona si es una recolección casa por casa o por esquinas en el escenario A, no se deben ingresar valores como antes (tiempo de paradas y factor correctivo de distancia)
- solamente aún se debe de seleccionar la cantidad de familias recolectadas y verificar las distancias de las paradas - en revisión para mejoras possibles</t>
  </si>
  <si>
    <t>Modificación de velocidades predefinidas para vehiculos de transferencia y recolección - 30 km/hora en la ciudad en vez de 15 km/h - 50 km/h fuera de la ciudad en vez de 40 km/h</t>
  </si>
  <si>
    <t>Modificación de la presentación de resultados con categorias identicas para los costos reales y la modelización</t>
  </si>
  <si>
    <t>Hace falta mover costos de la modelización entre categorias: personal de centro de transferencia, costos de planificación y fiscalización (no hay!)</t>
  </si>
  <si>
    <t>Se agregó el costo por tonelada en los resultados presentados</t>
  </si>
  <si>
    <t>Se separo el costo de personal de recolección del personal de la estación de transferencia para el ingreso en las categorias de costos definidas</t>
  </si>
  <si>
    <t>Estimación de costos de planificación y fiscalización</t>
  </si>
  <si>
    <t>Indicadores de eficiencia del servicio</t>
  </si>
  <si>
    <t>Tiempo total por viaje [horas/viaje]</t>
  </si>
  <si>
    <t>Tiempos de recolección</t>
  </si>
  <si>
    <t>Tiempo total por viaje [minutos/viaje]</t>
  </si>
  <si>
    <t>Tasa promedio real de llenado de contenedores [%]</t>
  </si>
  <si>
    <t>Agregado calculo de llenado real de contenedores</t>
  </si>
  <si>
    <t>Modificaciones en versión 21_02_23</t>
  </si>
  <si>
    <t>Tiempo de viaje a sitio de disposición o estación de transferencia [minutos]</t>
  </si>
  <si>
    <t>Tiempo para vaciar el camión por viaje [minutos]</t>
  </si>
  <si>
    <t>Horas por día laboral [h]</t>
  </si>
  <si>
    <t>Tiempo efectivo de recolección [%]</t>
  </si>
  <si>
    <t>Por defecto = 2%</t>
  </si>
  <si>
    <t>Se agregaron costos de planificación y fiscalización estimados, 2% del total.</t>
  </si>
  <si>
    <t>Tasa de disponibilidad de tiempo de equipo de recolección [%] modificada a 90% para todos los casos. Para una jornada de 8 horas loborales, 48 minutos de pausas</t>
  </si>
  <si>
    <t>El tiempo de parada para los casos por aceras y por esquinas debe analizarse mejor, el valor depende de cuantas casa se recolecta en cada parada - una parada corta para solamente una casa o una parada con 20 casas</t>
  </si>
  <si>
    <t>Horas en pausa [h]</t>
  </si>
  <si>
    <t>Horas recolectando [h]</t>
  </si>
  <si>
    <t>Horas transfiriendo a punto de disposición final o transferencia [h]</t>
  </si>
  <si>
    <t>Horas vaciando el camión en estación de transferencia o sitio de disposición final [h]</t>
  </si>
  <si>
    <t>Horas no ocupadas [h]</t>
  </si>
  <si>
    <t>Tiempo para llenar camión al 100% [h]</t>
  </si>
  <si>
    <t>Días feriados por año [día/año]</t>
  </si>
  <si>
    <t>Por defecto = 15</t>
  </si>
  <si>
    <t>Días laborales equivalentes por semana [días/semana]</t>
  </si>
  <si>
    <t>Modificado el calculo de días de trabajo disponibles por empleada/o: Días laborales equivalentes por semana [días/semana] se toma ahora en cuenta las vacaciones y los feriados. No son entonces 5 días laborales por semana sino 4.3 en promedio.</t>
  </si>
  <si>
    <t>Modificaciones en versión 21_03_01</t>
  </si>
  <si>
    <t>Finalización calculos de eficiencia</t>
  </si>
  <si>
    <t>Modificar velocidades de recolección en base a esto? No se informa diferentes velocidades para recolección por contenedores podriamos utilizar 4 sin contenedores y 6.5 con contenedores, asumiendo que es más eficiente la recolección con contenedores</t>
  </si>
  <si>
    <t>%cobertura aplica sobre la población y asume que la población es repartida uniformemente -&gt; tambien se aplica al area considerada</t>
  </si>
  <si>
    <t>Indicadores Helvetas</t>
  </si>
  <si>
    <t>Con estación de transferencia</t>
  </si>
  <si>
    <t>Sin estación de transferencia</t>
  </si>
  <si>
    <t>GRAPH GENERATION</t>
  </si>
  <si>
    <t>Column1</t>
  </si>
  <si>
    <t>Column2</t>
  </si>
  <si>
    <t>Column3</t>
  </si>
  <si>
    <t>Column4</t>
  </si>
  <si>
    <t>Modificación formula total salarios reales, habia una formula vieja que tomaba en cuenta una columna vacia</t>
  </si>
  <si>
    <t>Creación de tablas para todas las partes de los costos reales, ahora cuando se agrega una linea las formulas son copiadas automaticamente</t>
  </si>
  <si>
    <t>Cambio de formula para calculo de camiones necesarios en el caso del escenario diferenciado</t>
  </si>
  <si>
    <t>Recollección</t>
  </si>
  <si>
    <t>Transporte</t>
  </si>
  <si>
    <t>Kilometraje total del servicio [km/año]</t>
  </si>
  <si>
    <t>Respuestas</t>
  </si>
  <si>
    <t>Cantidad de camiones de recolección necesarios [camiones]
Aplica para semana y horario laboral de 1 persona</t>
  </si>
  <si>
    <t>Agregado possibilidad de realizar 2 turnos por día con los camiones y laborar los sabados y domingos.</t>
  </si>
  <si>
    <t>Distribución de tiempos</t>
  </si>
  <si>
    <t>Recolección [%]</t>
  </si>
  <si>
    <t>Transporte [%]</t>
  </si>
  <si>
    <t>Camiones</t>
  </si>
  <si>
    <t>Combustible</t>
  </si>
  <si>
    <t>Total recolección</t>
  </si>
  <si>
    <t>Total transporte</t>
  </si>
  <si>
    <t>GRAPH COLLECTION</t>
  </si>
  <si>
    <t>Costos de recolección</t>
  </si>
  <si>
    <t>Costos de transporte</t>
  </si>
  <si>
    <t>Costos de contenedores</t>
  </si>
  <si>
    <t>Costos estación de transferencia</t>
  </si>
  <si>
    <t>Se agrego calculos de costos separados para recolección y transporte y graficas de detalles del servicio de recolección y transporte</t>
  </si>
  <si>
    <t>Se toman en cuenta las vacaciones y dias feriados del equipo de trabajo</t>
  </si>
  <si>
    <t>El calculo de viajes possibles por día se calcula en base a las horas laborales sin realizar rondeado: optimiza los tiempos de trabajo</t>
  </si>
  <si>
    <t>Tiempo necesario para ida y vuelta al parqueo [h]</t>
  </si>
  <si>
    <t>Traslado desde y hacia el parqueo [h]</t>
  </si>
  <si>
    <t>Se agrego el tiempo necesario para ir y volver del parqueo 1 vez por turno de trabajo en los calculos de disponibilidad de tiempos</t>
  </si>
  <si>
    <t>Se modifico la formula de calculo de la distancia hacia parqueos por semana para tomar en cuenta los turnos no rondeados como para todos los otros calculos</t>
  </si>
  <si>
    <t>Correction en calculos de eficiencia realizados para adaptar a cambios en esta versión</t>
  </si>
  <si>
    <t>Tiempo relativo de recolección versus transporte [%]</t>
  </si>
  <si>
    <t>Horas hombre por tonelada recolectada [h*persona/t]</t>
  </si>
  <si>
    <t>Modificaciones en versión 21_03_09</t>
  </si>
  <si>
    <t>Carretón (tracción humana)</t>
  </si>
  <si>
    <t>Triciclo (tracción humana)</t>
  </si>
  <si>
    <t>Alforjas (tracción animal)</t>
  </si>
  <si>
    <t>Carretón (tracción animal)</t>
  </si>
  <si>
    <t>Velocidad de recolección [km/h]</t>
  </si>
  <si>
    <t>Densidad de carreteras [km/km2]</t>
  </si>
  <si>
    <t>Por defecto = definido en recolección principal</t>
  </si>
  <si>
    <t>Mixto</t>
  </si>
  <si>
    <t>Definición de velocidad de recolección [km/h]</t>
  </si>
  <si>
    <t>Generación domiciliar [kg/día]</t>
  </si>
  <si>
    <t>Distancia promedio entre zona de recolección primaria y punto de recolección segundario [km]</t>
  </si>
  <si>
    <t>Por defecto = 200 m</t>
  </si>
  <si>
    <t>Costos de seguros y de parqueos para los vehiculos? Se pueden incluir en costos de mantenimiento anual como un % del costo total, o un costo fijo por vehiculo.</t>
  </si>
  <si>
    <t>Por defecto = 3 minutos</t>
  </si>
  <si>
    <t>Tiempo para vaciar contenido en punto de recolección segundario [min]</t>
  </si>
  <si>
    <t>Por defecto = 2 km</t>
  </si>
  <si>
    <t>Costos de recolección primaria</t>
  </si>
  <si>
    <t>Distribución costos recolección y transporte (recolección segundaria)</t>
  </si>
  <si>
    <t>Informacion real util: km totales annuales recolección y transporte, total personal de recolección/transporte, total de personal de recolección primaria, total de RS recolectados por año, total de reciclables y organicos gestionados de forma diferenciada, km barrido por día por persona</t>
  </si>
  <si>
    <t>Recolección diferenciada</t>
  </si>
  <si>
    <t>Gestión de orgánicos</t>
  </si>
  <si>
    <t>Gestión de reciclables</t>
  </si>
  <si>
    <t>Gestión de disposición final</t>
  </si>
  <si>
    <t>No se gestionan de forma diferenciada</t>
  </si>
  <si>
    <t>Compostaje</t>
  </si>
  <si>
    <t>Biogas</t>
  </si>
  <si>
    <t>Otro tratamiento</t>
  </si>
  <si>
    <t>No existe sitio definido</t>
  </si>
  <si>
    <t>Botadero a cielo abierto</t>
  </si>
  <si>
    <t>Botadero controlado</t>
  </si>
  <si>
    <t>Relleno sanitario simple con gestión de lixiviados</t>
  </si>
  <si>
    <t>Se deposita en sitio de disposición final</t>
  </si>
  <si>
    <t>Agregar parametros de calculos para recolección primaria adicional y presentación de resultados</t>
  </si>
  <si>
    <t>Personal total del servicio de recolección primario [personas]</t>
  </si>
  <si>
    <t>Personal de servicio de recolección total</t>
  </si>
  <si>
    <t>Cobertura [%]</t>
  </si>
  <si>
    <t>Descripción</t>
  </si>
  <si>
    <t>Morosidad [%]</t>
  </si>
  <si>
    <t>Horas efectivas de recolección [h/día]</t>
  </si>
  <si>
    <t>Total</t>
  </si>
  <si>
    <t>Otro…</t>
  </si>
  <si>
    <t>Total personal de transferencia y transporte</t>
  </si>
  <si>
    <t>Estación de transferencia y transporte</t>
  </si>
  <si>
    <t>AGREGAR PESTAÑA DE RESUMEN COSTOS POR USUARIO O POR TONELADA</t>
  </si>
  <si>
    <t>%</t>
  </si>
  <si>
    <t>Retroexcavadora</t>
  </si>
  <si>
    <t>Por defecto = 90%</t>
  </si>
  <si>
    <t xml:space="preserve"> (here it was considered the "Solid Waste Management, UNEP, 2005 (pag.132, table IV-7)" which considers 8-10% for trailers and "lesson 2.9 mooc course of MSW in DC (with eng. Schmidt,)")
Changed to a cost per km, reference needed</t>
  </si>
  <si>
    <t>Entidad gestora</t>
  </si>
  <si>
    <t>Tecnico electricista</t>
  </si>
  <si>
    <t>Encargado gomeria</t>
  </si>
  <si>
    <t>Tecnico soldador</t>
  </si>
  <si>
    <t xml:space="preserve">Crucetas de cardan </t>
  </si>
  <si>
    <t>Perno Central</t>
  </si>
  <si>
    <t>Chicharas</t>
  </si>
  <si>
    <t>Muelles</t>
  </si>
  <si>
    <t>Bujes de diferentes dimenciones</t>
  </si>
  <si>
    <t>Tacos de cabinas</t>
  </si>
  <si>
    <t>Rodamiento de descanzo completo</t>
  </si>
  <si>
    <t>Perno de Rueda con tuercas</t>
  </si>
  <si>
    <t>Reten de Macero o rueda</t>
  </si>
  <si>
    <t>Valvula de alivio de aire</t>
  </si>
  <si>
    <t>Chicotillo de acelerador</t>
  </si>
  <si>
    <t>Abrazaderas</t>
  </si>
  <si>
    <t xml:space="preserve">Diafracma </t>
  </si>
  <si>
    <t>Relay</t>
  </si>
  <si>
    <t>Bloqueador de aire</t>
  </si>
  <si>
    <t>Reparo de compresora de aire completo</t>
  </si>
  <si>
    <t xml:space="preserve">Bocina de aire </t>
  </si>
  <si>
    <t>Correas</t>
  </si>
  <si>
    <t>Reten para corona</t>
  </si>
  <si>
    <t xml:space="preserve">Escobillas </t>
  </si>
  <si>
    <t>Diamon para aspa de ventilacion</t>
  </si>
  <si>
    <t>Resorte para brasos</t>
  </si>
  <si>
    <t>Mecanismo para levanta vidrio completo</t>
  </si>
  <si>
    <t>Chapaletas para compresora de aire</t>
  </si>
  <si>
    <t>valvula de 4 vias.</t>
  </si>
  <si>
    <t>Electrodos 7018 por kilo</t>
  </si>
  <si>
    <t>Electrodos 6013 por kilo</t>
  </si>
  <si>
    <t>Discos de cortes de 9 pulg.</t>
  </si>
  <si>
    <t>Bomba de Agua</t>
  </si>
  <si>
    <t>Bomba de Aceite</t>
  </si>
  <si>
    <t>Grilletas de 34 dientes</t>
  </si>
  <si>
    <t>Grilletas de 39 dientes</t>
  </si>
  <si>
    <t>Focos H1 y H4 de 12V. 24V.</t>
  </si>
  <si>
    <t>Focos de 1 filamento de 12V. Y 24V.</t>
  </si>
  <si>
    <t>Focos de media luz de 12V. 24V.</t>
  </si>
  <si>
    <t>Focos de dos filamentos de 12V. Y 24V.</t>
  </si>
  <si>
    <t>Toma fuerza</t>
  </si>
  <si>
    <t>Palier</t>
  </si>
  <si>
    <t>nidos de corona</t>
  </si>
  <si>
    <t>cilindros quit comkpleto de motor</t>
  </si>
  <si>
    <t>rodamientos de macero</t>
  </si>
  <si>
    <t xml:space="preserve">Baretias de carros </t>
  </si>
  <si>
    <t xml:space="preserve">Prensa completo </t>
  </si>
  <si>
    <t>rodamiento completo</t>
  </si>
  <si>
    <t>disco de motor</t>
  </si>
  <si>
    <t>bomba hidraulica de direccion</t>
  </si>
  <si>
    <t xml:space="preserve">Compresora de Aire </t>
  </si>
  <si>
    <t>Encargado de control y registro de pesaje</t>
  </si>
  <si>
    <t>Ayudantes</t>
  </si>
  <si>
    <t>Botines</t>
  </si>
  <si>
    <t>Guantes de hilo con palma de goma</t>
  </si>
  <si>
    <t>Mascaras de medio rostro</t>
  </si>
  <si>
    <t xml:space="preserve">Filtros </t>
  </si>
  <si>
    <t>Guantes de neopreno pares</t>
  </si>
  <si>
    <t>Ropa de bioseguridad</t>
  </si>
  <si>
    <t>Ropa de bioseguridad desechable</t>
  </si>
  <si>
    <t>Sombreros tipo legionario</t>
  </si>
  <si>
    <t>Ropa de agua</t>
  </si>
  <si>
    <t>Barbijos</t>
  </si>
  <si>
    <t>Botas de agua</t>
  </si>
  <si>
    <t>Guantes de nitrilo</t>
  </si>
  <si>
    <t>Gafas de proteccion</t>
  </si>
  <si>
    <t>Ropa de trabajo (pantalon jeans y camisa jeans)</t>
  </si>
  <si>
    <t xml:space="preserve">Gorras </t>
  </si>
  <si>
    <t>Macara de rostro completo</t>
  </si>
  <si>
    <t>Rastrillos</t>
  </si>
  <si>
    <t>Alza  basuras</t>
  </si>
  <si>
    <t>Azadon</t>
  </si>
  <si>
    <t>Picos</t>
  </si>
  <si>
    <t>Machete</t>
  </si>
  <si>
    <t>Palmeras</t>
  </si>
  <si>
    <t>Cepillo para lavar</t>
  </si>
  <si>
    <t>Araganes</t>
  </si>
  <si>
    <t>Mangueras</t>
  </si>
  <si>
    <t>Detergentes (Kg.)</t>
  </si>
  <si>
    <t>Lavandinas (Lts.)</t>
  </si>
  <si>
    <t>Amonio Cauternario (Lts.)</t>
  </si>
  <si>
    <t>Arnes</t>
  </si>
  <si>
    <t>Cuerdas (mts.)</t>
  </si>
  <si>
    <t>Conos</t>
  </si>
  <si>
    <t>Jabon liquido</t>
  </si>
  <si>
    <t>Sanitizador</t>
  </si>
  <si>
    <t>Alcohol</t>
  </si>
  <si>
    <t>Bañeras</t>
  </si>
  <si>
    <t xml:space="preserve">Tachos </t>
  </si>
  <si>
    <t>Bolsa de yute</t>
  </si>
  <si>
    <t>Pala cargadora</t>
  </si>
  <si>
    <t>Llantas para carros</t>
  </si>
  <si>
    <t>Material de escritorio</t>
  </si>
  <si>
    <t>Materiales para chimeneas Biogas</t>
  </si>
  <si>
    <t>Herramientas menores</t>
  </si>
  <si>
    <t>Arcilla</t>
  </si>
  <si>
    <t>Cal Viva</t>
  </si>
  <si>
    <t>Bombas Loderas</t>
  </si>
  <si>
    <t>Tuberias y accesorio</t>
  </si>
  <si>
    <t xml:space="preserve">Plantines </t>
  </si>
  <si>
    <t>Mueble de computadora</t>
  </si>
  <si>
    <t xml:space="preserve">Prensa Metalica </t>
  </si>
  <si>
    <t>Arco de Soldar 430 Ap. Trifacico</t>
  </si>
  <si>
    <t>Emeril de Banco con motor</t>
  </si>
  <si>
    <t>Equipo de Oxigeno Completo</t>
  </si>
  <si>
    <t>Equipo de soldadura</t>
  </si>
  <si>
    <t>Engrasdor Manual</t>
  </si>
  <si>
    <t>Gata Caiman de 10 TON.</t>
  </si>
  <si>
    <t xml:space="preserve">Escalera metalica </t>
  </si>
  <si>
    <t>Remachadore de Balatas</t>
  </si>
  <si>
    <t>Taladro de mesa con medicion de mandril de 20</t>
  </si>
  <si>
    <t>AmoladoraANG. W26</t>
  </si>
  <si>
    <t xml:space="preserve">Taladro de percucion Sbe 1000 PLUS </t>
  </si>
  <si>
    <t>Equipo de computacion</t>
  </si>
  <si>
    <t>Televisor</t>
  </si>
  <si>
    <t>Biométrico</t>
  </si>
  <si>
    <t xml:space="preserve">Alcoholimetro </t>
  </si>
  <si>
    <t>Diesel</t>
  </si>
  <si>
    <t>Auditor Interno</t>
  </si>
  <si>
    <t>Asesor Legal</t>
  </si>
  <si>
    <t>Secretarias</t>
  </si>
  <si>
    <t>Auxiliar  de almacenes</t>
  </si>
  <si>
    <t>Escaner</t>
  </si>
  <si>
    <t>Mobiliario en general</t>
  </si>
  <si>
    <t>Telefonos fijos</t>
  </si>
  <si>
    <t>Oficinas centrales</t>
  </si>
  <si>
    <t>Servicio de telefonia</t>
  </si>
  <si>
    <t>Servicio de celulares</t>
  </si>
  <si>
    <t>Material de Escritorio</t>
  </si>
  <si>
    <t xml:space="preserve"> Aux. Educacion  y comunicacion</t>
  </si>
  <si>
    <t>Computadora de escritorio</t>
  </si>
  <si>
    <t>Computadora portátil</t>
  </si>
  <si>
    <t xml:space="preserve">Impresora </t>
  </si>
  <si>
    <t xml:space="preserve">1 ecran, 2 stand móviles, 3 rolers </t>
  </si>
  <si>
    <t xml:space="preserve">data display </t>
  </si>
  <si>
    <t xml:space="preserve">camara fotográfica </t>
  </si>
  <si>
    <t xml:space="preserve">cámara filmadora </t>
  </si>
  <si>
    <t xml:space="preserve">equipo de amplificación y set de micrófonos </t>
  </si>
  <si>
    <t>gigantografías</t>
  </si>
  <si>
    <t>rolers</t>
  </si>
  <si>
    <t>banners</t>
  </si>
  <si>
    <t>Difucion Medios</t>
  </si>
  <si>
    <t xml:space="preserve">consola </t>
  </si>
  <si>
    <t>costo de producción anual</t>
  </si>
  <si>
    <t>costo de pagos redes sociales</t>
  </si>
  <si>
    <t>Difusión  medios masivos</t>
  </si>
  <si>
    <t>impresos</t>
  </si>
  <si>
    <t>Por defecto = 40</t>
  </si>
  <si>
    <t>Servicio de recolección y transporte</t>
  </si>
  <si>
    <t>Por defecto, igual a 80% de la tasa de compactación de recolección.</t>
  </si>
  <si>
    <t>Por defecto, igual a RS mixtos sueltos</t>
  </si>
  <si>
    <t>Costos de monitoreo ambiental</t>
  </si>
  <si>
    <t>Grado de compactación vehículo de recolección []</t>
  </si>
  <si>
    <t>Grado de compactación vehículo de transferencia []</t>
  </si>
  <si>
    <t>Grado de compactación []</t>
  </si>
  <si>
    <t>Opcion servico por entida ajena o propia</t>
  </si>
  <si>
    <t>C.1 Recolección con contenedores</t>
  </si>
  <si>
    <t>C.2 Recolección con contenedores</t>
  </si>
  <si>
    <t>D.1 Recolección diferenciada con contenedores</t>
  </si>
  <si>
    <t>D.2 Recolección diferenciada con contenedores</t>
  </si>
  <si>
    <t>Recolección con contenedores</t>
  </si>
  <si>
    <t>Recolección diferenciada con contenedores</t>
  </si>
  <si>
    <t>Cantidad de contenedores necesarios calculados [unidades]</t>
  </si>
  <si>
    <t>Contenedores por km corregido/control [contenedor/km]</t>
  </si>
  <si>
    <t>Distancia promedio entre 2 paradas corregido/control [km]</t>
  </si>
  <si>
    <t>Cantidad de contenedores necesarios FINAL - controlado [unidades]</t>
  </si>
  <si>
    <t>Modificaciones en versión 21_03_24</t>
  </si>
  <si>
    <t>Modificación del calculo para modelo con contenedores. Inclusión de distancia maxima entre contenedores ajustable dentro de opciones avanzadas. 400m ahora.</t>
  </si>
  <si>
    <t>Tiempo para vaciar camión recolector en estación de transferencia o disposición final [minutos]</t>
  </si>
  <si>
    <t>Mecanizado</t>
  </si>
  <si>
    <t>Manual</t>
  </si>
  <si>
    <t>Longitud de carretera limpiada por semana [km/semana]</t>
  </si>
  <si>
    <t>Longitud de carretera a limpiar por año [km/año]</t>
  </si>
  <si>
    <t>Capacidad de limpieza por empleada/o por año[km/año]</t>
  </si>
  <si>
    <t>Incluye materiales, suministros varios y equipo personal</t>
  </si>
  <si>
    <t>Eficiencia</t>
  </si>
  <si>
    <t>Media</t>
  </si>
  <si>
    <t>Buena</t>
  </si>
  <si>
    <t>Mala</t>
  </si>
  <si>
    <t>Se puede modificar en resultados?</t>
  </si>
  <si>
    <t>N° de veces que se recolectan rutas especificas (modelo A/B)</t>
  </si>
  <si>
    <t>Aplica para opción con contenedores (modelo C)</t>
  </si>
  <si>
    <t>Aplica para opción con clasificación (modelo D)</t>
  </si>
  <si>
    <t>Morosidad de pago [%]</t>
  </si>
  <si>
    <t>Por defecto = 80%
Imperativo ser menos de 100% porque es un promedio - si es 100 entonces los contenedores rebasarán de forma regular.</t>
  </si>
  <si>
    <t>RESUMEN DATOS DE CONTROL</t>
  </si>
  <si>
    <t>Control de tiempo de trabajo [horas]</t>
  </si>
  <si>
    <t>Modificaciones en versión 21_04_01</t>
  </si>
  <si>
    <t>Agregar valores de pruebas: horas laborales por día maximas y horas promedio de uso de camiones</t>
  </si>
  <si>
    <t>Distancia entre paradas [m]</t>
  </si>
  <si>
    <t>Valores indicativos: de 1 a 30. 2 para modelizar un servicio casa por casa, 30 para esquina por equina. Se debe verificar la distancia calculada entre las paradas del camión para validar el dato ingresado - el tiempo por parada debe de corresponder al tiempo necesario para recolectar el numero indicado de viviendas</t>
  </si>
  <si>
    <t>Eficiencia del personal en barrido de calles [km/persona*día]</t>
  </si>
  <si>
    <t>Algunas modificaciones de forma</t>
  </si>
  <si>
    <t>Promedio anual</t>
  </si>
  <si>
    <t>Rutas por día no rondeado</t>
  </si>
  <si>
    <t>Reci.</t>
  </si>
  <si>
    <t>Org.</t>
  </si>
  <si>
    <t>Des.</t>
  </si>
  <si>
    <t>Cálculos de escenarios</t>
  </si>
  <si>
    <t>Tipo de recolección</t>
  </si>
  <si>
    <t>from the original model of Coffey and Coad
Podria ser calculado en funcion de si se utilizan los sabados o domingos. Si solo 1 disponible 2.5%, si los dos disponibles 0. si zero disponible 5%. Por ejemplo</t>
  </si>
  <si>
    <t>Promedio anual de horas de uso de camión de recolección por día [h/día]</t>
  </si>
  <si>
    <t>Por defecto = 10%</t>
  </si>
  <si>
    <t>Costos administrativos 10% &amp; corrección de un error el los calculos</t>
  </si>
  <si>
    <t>Column5</t>
  </si>
  <si>
    <t>Aumento costo de estación de transferencia a 500'000 Bs</t>
  </si>
  <si>
    <t>Tiempo de vida de estación de transferencia [años]</t>
  </si>
  <si>
    <t>Tiempo de vida de contenedores [años]</t>
  </si>
  <si>
    <t>Por defecto = 80</t>
  </si>
  <si>
    <t>Cambiado costo por planta de reciclaje a 140 Bs/ton (approx 20 USD)</t>
  </si>
  <si>
    <t>Cambiado costo por disposición final a 140 Bs/ton (approx 20 USD)</t>
  </si>
  <si>
    <t>Cantidad de camiones de recolección</t>
  </si>
  <si>
    <t>Cantidad de camiones de transporte</t>
  </si>
  <si>
    <t>Reciclaje</t>
  </si>
  <si>
    <t>Disposición final</t>
  </si>
  <si>
    <t>Indicadores de eficiencia</t>
  </si>
  <si>
    <t>Toneladas anuales de residuos orgánicos aprovechadas de forma diferenciada [ton/año]</t>
  </si>
  <si>
    <t>Toneladas anuales de reciclables aprovechadas de forma diferenciada [ton/año]</t>
  </si>
  <si>
    <t>Facturaciones domiciliares</t>
  </si>
  <si>
    <t>Facturaciones no domiciliares</t>
  </si>
  <si>
    <t>Otros ingresos</t>
  </si>
  <si>
    <t>Cobertura del servicio de barrido de vías [%]</t>
  </si>
  <si>
    <t>Cobertura del servicio de recolección [%]</t>
  </si>
  <si>
    <t>Residuos recolectados no gestionados de forma segura [% del total recolectado]</t>
  </si>
  <si>
    <t>Otra forma de gestión</t>
  </si>
  <si>
    <t>Toneladas por empleado de recolección convencional por día [t/día*empleado]</t>
  </si>
  <si>
    <t>Reciclables [% del total recolectado]</t>
  </si>
  <si>
    <t>Indicadores de aprovechamiento de residuos</t>
  </si>
  <si>
    <t>Reciclables aprovechados [% del total de reciclables recolectados]</t>
  </si>
  <si>
    <t>Resumen de costos</t>
  </si>
  <si>
    <t>Barrido de vías con servicio manual</t>
  </si>
  <si>
    <t>Longitud de vías pavimentadas con servicio de barrido manual [km]</t>
  </si>
  <si>
    <t>Barrido de vías con servicio mecanizado</t>
  </si>
  <si>
    <t>Longitud de vías pavimentadas con servicio de barrido mecanizado [km]</t>
  </si>
  <si>
    <t>Tiempo de vida de basureros públicos [años]</t>
  </si>
  <si>
    <t>Considera barrido manual para escenarios</t>
  </si>
  <si>
    <t>Residuos dispuestos de forma sanitariamente segura [% de total recolectado]</t>
  </si>
  <si>
    <t>Caso real actual</t>
  </si>
  <si>
    <t>Parte 1 – Evaluación de costos e ingresos reales</t>
  </si>
  <si>
    <r>
      <t>-</t>
    </r>
    <r>
      <rPr>
        <sz val="7"/>
        <color theme="1"/>
        <rFont val="Times New Roman"/>
        <family val="1"/>
      </rPr>
      <t xml:space="preserve">        </t>
    </r>
    <r>
      <rPr>
        <sz val="11"/>
        <color theme="1"/>
        <rFont val="Calibri"/>
        <family val="2"/>
        <scheme val="minor"/>
      </rPr>
      <t>La tasa de interés (si existe un prestamo)</t>
    </r>
  </si>
  <si>
    <t>Hay tres partes principales para distribuir los ingresos:</t>
  </si>
  <si>
    <t>Se calcula entonces automaticamente el promedio anual de cobros, facturación y morosidad de pago.</t>
  </si>
  <si>
    <r>
      <t xml:space="preserve">Para calcular los ingresos reales de la gestión de residuos sólidos municipales, referirse a la pestaña </t>
    </r>
    <r>
      <rPr>
        <b/>
        <sz val="11"/>
        <color rgb="FFFF0000"/>
        <rFont val="Calibri"/>
        <family val="2"/>
        <scheme val="minor"/>
      </rPr>
      <t>“1a) Evaluación_ingresos”</t>
    </r>
    <r>
      <rPr>
        <sz val="11"/>
        <color theme="1"/>
        <rFont val="Calibri"/>
        <family val="2"/>
        <scheme val="minor"/>
      </rPr>
      <t xml:space="preserve"> de la herramienta.</t>
    </r>
  </si>
  <si>
    <r>
      <t xml:space="preserve">Para calcular los costos reales de la gestión de residuos sólidos municipales, referirse a la pestaña </t>
    </r>
    <r>
      <rPr>
        <b/>
        <sz val="11"/>
        <color rgb="FFFF0000"/>
        <rFont val="Calibri"/>
        <family val="2"/>
        <scheme val="minor"/>
      </rPr>
      <t>“1a) Evaluación_costos”</t>
    </r>
    <r>
      <rPr>
        <sz val="11"/>
        <color theme="1"/>
        <rFont val="Calibri"/>
        <family val="2"/>
        <scheme val="minor"/>
      </rPr>
      <t xml:space="preserve"> de la herramienta.</t>
    </r>
  </si>
  <si>
    <r>
      <t xml:space="preserve">Los resultados de costos e ingresos se encuentran en </t>
    </r>
    <r>
      <rPr>
        <b/>
        <sz val="11"/>
        <color rgb="FFFF0000"/>
        <rFont val="Calibri"/>
        <family val="2"/>
        <scheme val="minor"/>
      </rPr>
      <t>"1c) Resultados"</t>
    </r>
    <r>
      <rPr>
        <sz val="11"/>
        <rFont val="Calibri"/>
        <family val="2"/>
        <scheme val="minor"/>
      </rPr>
      <t>.</t>
    </r>
  </si>
  <si>
    <t>En esta pestaña, se solicita el ingreso de algunos datos del sistema de gestión de residuos sólidos. Por favor completar toda la información si es conocida. En caso no sea conocida, la herramienta no podra calcular algunos de los indicadores de eficiencia. Estos datos son muy importantes para mejorar los sistemas de GRS y es primordial establecer mecanismos para monitorearlos y conocerlos.</t>
  </si>
  <si>
    <t>Se pueder ver los resultados de costos, con el costo real total anual, el costo por tonelada o por usuario y adicionalmente, los resultados de ingresos con el total cobrado, el total facturado y la morosidad de pago. Aquí tambien se permite verificar el monto calculado que se debe subvencionar (es la differencia entre el costo y lo cobrado) - se puede comparar este monto calculado con un monto ingresado manualmente si fuera conocido.</t>
  </si>
  <si>
    <t>Se tienen aquí indicadores de eficiencia que se calculan en base a los datos ingresados en las casillas en blanco.</t>
  </si>
  <si>
    <t>Tomar nota que se deben completar algunos datos de la pestaña "2a) Datos_escenarios" para que todos los calculos se realizen.</t>
  </si>
  <si>
    <t>- Cobros domiciliares
- Cobros no domiciliares
- Pagos por convenios
- Otros Pagos
Utilizar entonces el espacio correspondiente a la situación de su municipio/empresa de GRS</t>
  </si>
  <si>
    <t>-     Para los datos relativos a los camiones considerados, se pueden utilizar los datos promedios de la flota existente o los datos del vehiculo más común/más utilizado. Tomar nota que solo une tipo de vehiculo de recollección y uno de transporte se puede ingresar de momento para la recolección convencional.</t>
  </si>
  <si>
    <t>Tercera etapa</t>
  </si>
  <si>
    <r>
      <t xml:space="preserve">El modelo calcula todos los costos de los escenarios en la pestaña </t>
    </r>
    <r>
      <rPr>
        <b/>
        <sz val="11"/>
        <color rgb="FFFF0000"/>
        <rFont val="Calibri"/>
        <family val="2"/>
        <scheme val="minor"/>
      </rPr>
      <t>"2b) Calculos_escenarios"</t>
    </r>
    <r>
      <rPr>
        <sz val="11"/>
        <color theme="1"/>
        <rFont val="Calibri"/>
        <family val="2"/>
        <scheme val="minor"/>
      </rPr>
      <t>, aquí no es necesario ver o verificar está pestaña. Se puede ir directamente a los resultados.</t>
    </r>
  </si>
  <si>
    <r>
      <t xml:space="preserve">La primera etapa para usar la modelización de costos es completar la información necesaria en la pestaña </t>
    </r>
    <r>
      <rPr>
        <b/>
        <sz val="11"/>
        <color rgb="FFFF0000"/>
        <rFont val="Calibri"/>
        <family val="2"/>
        <scheme val="minor"/>
      </rPr>
      <t>“2a) Datos_escenarios”</t>
    </r>
    <r>
      <rPr>
        <sz val="11"/>
        <color theme="1"/>
        <rFont val="Calibri"/>
        <family val="2"/>
        <scheme val="minor"/>
      </rPr>
      <t>. En esta pestaña, se han entrado datos predeterminados. Es necesario actualizar estos datos y adaptarlos para el sitio considerado a modelizar.</t>
    </r>
  </si>
  <si>
    <t>En estos resultados, se visualizan los resultados del caso real ( si fueron completados debidamente) y de las 8 modelizaciones realizadas.</t>
  </si>
  <si>
    <t>En la primera table, se pueden ver los costos por categorias, el costos total y los costos por tonelada y por usuario.</t>
  </si>
  <si>
    <t>En la segunda tabla, se pueden ver los indicadores de eficiencia.</t>
  </si>
  <si>
    <t>Se pueden visualizar los resultados en dos graficas: la primera presenta los costos totales y la segunda se enfoca en las categorias de los costos de recolección y transposte.</t>
  </si>
  <si>
    <t>Otras consideraciones</t>
  </si>
  <si>
    <r>
      <t xml:space="preserve">La pestaña </t>
    </r>
    <r>
      <rPr>
        <b/>
        <sz val="11"/>
        <color rgb="FFFF0000"/>
        <rFont val="Calibri"/>
        <family val="2"/>
        <scheme val="minor"/>
      </rPr>
      <t>"4) Anexos"</t>
    </r>
    <r>
      <rPr>
        <sz val="11"/>
        <color theme="1"/>
        <rFont val="Calibri"/>
        <family val="2"/>
        <scheme val="minor"/>
      </rPr>
      <t xml:space="preserve"> presenta todos los indicadores de eficiencia calculados. Se pueden analizar si deseado para entender más a profundidad los resultados de costos entre los modelos. En la pestaña de resultados, se seleccionaron los más importantes.</t>
    </r>
  </si>
  <si>
    <r>
      <t xml:space="preserve">Los resultados de la modelización se pueden encontrar en la pestaña </t>
    </r>
    <r>
      <rPr>
        <b/>
        <sz val="11"/>
        <color rgb="FFFF0000"/>
        <rFont val="Calibri"/>
        <family val="2"/>
        <scheme val="minor"/>
      </rPr>
      <t>"3) Resultados"</t>
    </r>
    <r>
      <rPr>
        <sz val="11"/>
        <color theme="1"/>
        <rFont val="Calibri"/>
        <family val="2"/>
        <scheme val="minor"/>
      </rPr>
      <t>.</t>
    </r>
  </si>
  <si>
    <t>De momento, la herramienta solo permite comparar los costos para distintas formas de recogida de los residuos sólidos y los costos de limpieza de calles. Los otros costos son estimados en base a costos según literatura.</t>
  </si>
  <si>
    <t>La herramienta no se puede aplicar a zonas rurales poco densas, los resultados no serán representativos.</t>
  </si>
  <si>
    <t>A) Información general</t>
  </si>
  <si>
    <t>C) Vehículos de recolección y de transferencia</t>
  </si>
  <si>
    <t>E) Rutas de recolección</t>
  </si>
  <si>
    <t>F) Personal</t>
  </si>
  <si>
    <t>G) Recolección domiciliar</t>
  </si>
  <si>
    <t>H) Tiempos de descarga</t>
  </si>
  <si>
    <t>I) Tiempos de depreciación y costos</t>
  </si>
  <si>
    <t>L) Compostaje, reciclaje y disposición final</t>
  </si>
  <si>
    <t>Por defecto 150'000</t>
  </si>
  <si>
    <t>Cantidad de contenedores</t>
  </si>
  <si>
    <t>ND</t>
  </si>
  <si>
    <t>Para escenario de recolección mixta con contenedores (C)</t>
  </si>
  <si>
    <t>Para escenario de recolección diferenciada con contenedores (D)</t>
  </si>
  <si>
    <t>Factor de perdida de masa por compostaje [%]</t>
  </si>
  <si>
    <t>Cantidad de empleadas/os por supervisor/a</t>
  </si>
  <si>
    <t>Cantidad de empleadas/os necesarios</t>
  </si>
  <si>
    <t>Taller de mantenimiento</t>
  </si>
  <si>
    <t>Porcentaje de residuos totales aprovechados [% de total recolectado]</t>
  </si>
  <si>
    <t xml:space="preserve">Planta de reciclaje </t>
  </si>
  <si>
    <t>D) Recolección primaria</t>
  </si>
  <si>
    <t>Total personal de recolección primaria</t>
  </si>
  <si>
    <t>Total personal de recolección segundaria</t>
  </si>
  <si>
    <t>Planta de reciclaje</t>
  </si>
  <si>
    <t>En esta etapa, completar la información con los costos reales por categoría, los cuales se distribuyen en cuatro categorías:</t>
  </si>
  <si>
    <t>Para estas distintas categorías, en la herramienta se visualizan líneas de costos pre-determinadas que se deben de completar según el caso real de cada municipio o ciudad. Se puede modificar el título de cada línea en caso que sea necesario. También se tienen líneas en blanco en las cuales se puede agregar algún gasto no considerado dentro de las líneas existentes. En  todas las líneas  se debe entrar manualmente los datos:</t>
  </si>
  <si>
    <t>Los datos pre-ingresados son una propuesta y ejemplo de costos, varias líneas corresponderán a gastos en el caso que se analiza, otras no serán relevantes.</t>
  </si>
  <si>
    <r>
      <t>o</t>
    </r>
    <r>
      <rPr>
        <sz val="7"/>
        <color theme="1"/>
        <rFont val="Times New Roman"/>
        <family val="1"/>
      </rPr>
      <t xml:space="preserve">   </t>
    </r>
    <r>
      <rPr>
        <sz val="11"/>
        <color theme="1"/>
        <rFont val="Calibri"/>
        <family val="2"/>
        <scheme val="minor"/>
      </rPr>
      <t>En caso que no se necesite utilizar una línea, dejar la unidad en “0” y así esta línea no influye en el costo.</t>
    </r>
  </si>
  <si>
    <t>Aquí, se debe completar todas las casillas en blanco. Se debe revisar y modificar la descripción, indicar el año considerado. Importante: unicamente ingresar datos de años completos: puede ser de solo 1 año o varios pero es indispensable que sean informaciones completas por año ingresado. Luego se ingresa la cantidad y el costo unitario de la linea considerada. Para terminar, los ingresos y el total facturado son necesarios. Por favor revisar que el total facturado ingresado corresponde al total facturado calculado (ultima columna), este ultimo se calcula con el monto unitario y la cantidad de unidades.</t>
  </si>
  <si>
    <r>
      <t>-</t>
    </r>
    <r>
      <rPr>
        <sz val="7"/>
        <color theme="1"/>
        <rFont val="Times New Roman"/>
        <family val="1"/>
      </rPr>
      <t xml:space="preserve">        </t>
    </r>
    <r>
      <rPr>
        <sz val="11"/>
        <color theme="1"/>
        <rFont val="Calibri"/>
        <family val="2"/>
        <scheme val="minor"/>
      </rPr>
      <t>Recolección por acera/puerta a puerta</t>
    </r>
  </si>
  <si>
    <r>
      <t>-</t>
    </r>
    <r>
      <rPr>
        <sz val="7"/>
        <color theme="1"/>
        <rFont val="Times New Roman"/>
        <family val="1"/>
      </rPr>
      <t xml:space="preserve">        </t>
    </r>
    <r>
      <rPr>
        <sz val="11"/>
        <color theme="1"/>
        <rFont val="Calibri"/>
        <family val="2"/>
        <scheme val="minor"/>
      </rPr>
      <t>Recolección por esquina o parada fija</t>
    </r>
  </si>
  <si>
    <t>Para estos cuatro escenarios, se calcula con o sin una estación de transferencia para un total de 8 modelizaciones de costos.</t>
  </si>
  <si>
    <r>
      <t>Se debe verificar y completar todas las casillas en color blanco</t>
    </r>
    <r>
      <rPr>
        <sz val="11"/>
        <color theme="1"/>
        <rFont val="Calibri"/>
        <family val="2"/>
        <scheme val="minor"/>
      </rPr>
      <t>. Algunos valores pueden dejarse por defecto si no se conoce dato preciso – estas casillas se encuentran con color gris claro.</t>
    </r>
  </si>
  <si>
    <r>
      <rPr>
        <sz val="7"/>
        <color theme="1"/>
        <rFont val="Times New Roman"/>
        <family val="1"/>
      </rPr>
      <t xml:space="preserve">       </t>
    </r>
    <r>
      <rPr>
        <sz val="11"/>
        <color theme="1"/>
        <rFont val="Calibri"/>
        <family val="2"/>
        <scheme val="minor"/>
      </rPr>
      <t>La generación no domiciliaria: se requiere ingresar un porcentaje relativo a la generación domiciliaria para estimar la generación no domiciliaria. Se tiene por defecto el valor de 15% pero se puede calcular de forma precisa si el municipio cuenta con la caracterización completa de sus residuos sólidos generados (domiciliares y no domiciliarias).</t>
    </r>
  </si>
  <si>
    <r>
      <rPr>
        <sz val="7"/>
        <color theme="1"/>
        <rFont val="Times New Roman"/>
        <family val="1"/>
      </rPr>
      <t xml:space="preserve"> </t>
    </r>
    <r>
      <rPr>
        <sz val="11"/>
        <color theme="1"/>
        <rFont val="Calibri"/>
        <family val="2"/>
        <scheme val="minor"/>
      </rPr>
      <t>La densidad de carretera: se puede calcular considerando la longitud total de carretera en la zona considerada y el área de cobertura. Otra forma de estimar es con un mapa del sitio, visualizar un cuadro de 1 km2 y contar cuantas calles atraviesan el cuadro. Cada calle que atraviesa el cuadro se cuenta como 1 km/km2 de carretera. La suma de todas las carreteras que atraviesan el cuadro nos indica la densidad de carretera.</t>
    </r>
  </si>
  <si>
    <t>El usuario debe revisar que ha ingresado la información correcta y representativa antes de dirigirse a la próxima etapa.</t>
  </si>
  <si>
    <t>Supervisor  del servicio de barrido</t>
  </si>
  <si>
    <t xml:space="preserve">Barrenderos </t>
  </si>
  <si>
    <t xml:space="preserve"> Barrenderas</t>
  </si>
  <si>
    <t xml:space="preserve"> </t>
  </si>
  <si>
    <t>Responsable del mantenimiento de los equipos</t>
  </si>
  <si>
    <t>Mecanicos</t>
  </si>
  <si>
    <t>Ayudantes de los mecanicos</t>
  </si>
  <si>
    <t xml:space="preserve"> Chofer  encargado de recolectar residuos producto del barrido</t>
  </si>
  <si>
    <t>Supervisor  del servicio de recoleccion domiciliaria</t>
  </si>
  <si>
    <t xml:space="preserve"> Supervisor del servicio de recolección  no domiciliaria</t>
  </si>
  <si>
    <t xml:space="preserve"> Supervisor del servicio de recolección residuos hospitalarios</t>
  </si>
  <si>
    <t>Chofer  recoleccion domiciliaria</t>
  </si>
  <si>
    <t>Ayudantes recoleccion domiciliaria</t>
  </si>
  <si>
    <t>Chofer recoleccion no domiciliaria</t>
  </si>
  <si>
    <t>Ayudantes recoleccion no domiciliaria</t>
  </si>
  <si>
    <t>Chofer  recoleccion residuos hospitalarios</t>
  </si>
  <si>
    <t>Ayudante recoleccion residuos hospitalarios</t>
  </si>
  <si>
    <t>Supervisor /Encargado  del reciclaje</t>
  </si>
  <si>
    <t>Chofer vehiculo recolector de materiales reciclables</t>
  </si>
  <si>
    <t xml:space="preserve">Ayudante </t>
  </si>
  <si>
    <t>Supervisor/encargado de la planta de compostaje</t>
  </si>
  <si>
    <t xml:space="preserve">Ayudantes </t>
  </si>
  <si>
    <t>Portero</t>
  </si>
  <si>
    <t xml:space="preserve"> Portero</t>
  </si>
  <si>
    <t>Encargado  Operación de la estacion</t>
  </si>
  <si>
    <t>Operadores</t>
  </si>
  <si>
    <t>Responsable disposición final</t>
  </si>
  <si>
    <t>Operador tractor</t>
  </si>
  <si>
    <t>Chofer Volquetas</t>
  </si>
  <si>
    <t>Camioneta</t>
  </si>
  <si>
    <t>Volqueta/recolector basura producto del barrido</t>
  </si>
  <si>
    <t>Vehiculos recolectores de basura (marca, modelo, capacidad)</t>
  </si>
  <si>
    <t>Volquetas (marca, modelo, capacidad)</t>
  </si>
  <si>
    <t>Motocarros (marca, modelo, capacidad)</t>
  </si>
  <si>
    <t>Vehiculo recolector material reciclable (marca, modelo,capacidad)</t>
  </si>
  <si>
    <t xml:space="preserve"> Vehiculo materia organica (marca,modelo, capacidad)</t>
  </si>
  <si>
    <t>Tractor oruga (marca, modelo)</t>
  </si>
  <si>
    <t>Ropa de trabajo</t>
  </si>
  <si>
    <t>Carritos de mano</t>
  </si>
  <si>
    <t xml:space="preserve"> Instrumental control de calidad compost</t>
  </si>
  <si>
    <t xml:space="preserve"> Cerco perimetral</t>
  </si>
  <si>
    <t>caseta de vigilancia</t>
  </si>
  <si>
    <t>caseta de pesaje + báscula</t>
  </si>
  <si>
    <t>rampas de acceso</t>
  </si>
  <si>
    <t>patio de maniobras vehiculos recolectores</t>
  </si>
  <si>
    <t>tolvas</t>
  </si>
  <si>
    <t xml:space="preserve">rampas de salida  vehiculos recolectores </t>
  </si>
  <si>
    <t>Vehiculos de transferencia (marca, modelo, Capacidad)</t>
  </si>
  <si>
    <t>cajas de transferencia</t>
  </si>
  <si>
    <t>tracto camiones</t>
  </si>
  <si>
    <t>Patio de maniobras vehiculos transferencia</t>
  </si>
  <si>
    <t>casilleros, saniatrios, comedor</t>
  </si>
  <si>
    <t xml:space="preserve"> Oficinas</t>
  </si>
  <si>
    <t>Macrodeldas de basura</t>
  </si>
  <si>
    <t>lagunas de lixiviados</t>
  </si>
  <si>
    <t>celdas de emergencia</t>
  </si>
  <si>
    <t>Celdas residuos hospitalarios</t>
  </si>
  <si>
    <t>captadores de lixiviados</t>
  </si>
  <si>
    <t>captadores de biogas</t>
  </si>
  <si>
    <t>Obras complementarias (caseta, cerco perimetral, bascula, caseta de pesaje, taller, cerco vico…)</t>
  </si>
  <si>
    <t>Energía eléctrica</t>
  </si>
  <si>
    <t>Aceites</t>
  </si>
  <si>
    <t>Grasas</t>
  </si>
  <si>
    <t>Costos de monitoreo geotecnico</t>
  </si>
  <si>
    <t>Gerente Tecnico</t>
  </si>
  <si>
    <t>Gerente Administrativo</t>
  </si>
  <si>
    <t>Cobranzas</t>
  </si>
  <si>
    <t xml:space="preserve">Recursos humanos </t>
  </si>
  <si>
    <t>Unidad de Informatica</t>
  </si>
  <si>
    <t>Profesional 1</t>
  </si>
  <si>
    <t>Secretaria</t>
  </si>
  <si>
    <t>Computadoras</t>
  </si>
  <si>
    <t>Telefonos</t>
  </si>
  <si>
    <t>Oficinas</t>
  </si>
  <si>
    <t>Internet</t>
  </si>
  <si>
    <t>Profesional Comunicador</t>
  </si>
  <si>
    <t>Residencial A</t>
  </si>
  <si>
    <t>Residencial B</t>
  </si>
  <si>
    <t>Residencial C</t>
  </si>
  <si>
    <t>Residencial D</t>
  </si>
  <si>
    <t>Comercial A</t>
  </si>
  <si>
    <t>Comercial B</t>
  </si>
  <si>
    <t>Comercial C</t>
  </si>
  <si>
    <t>Factura al Gobierno Municipal</t>
  </si>
  <si>
    <t>Factura a los Centros de salud</t>
  </si>
  <si>
    <t>factura a la Policia</t>
  </si>
  <si>
    <t>factura a los Cuarteles</t>
  </si>
  <si>
    <t>Grado de compactación vehículo de recolección para materia orgánica []</t>
  </si>
  <si>
    <t>Distancia promedio entre el domicilio y zona de recolección primaria [km]</t>
  </si>
  <si>
    <t>Frecuencia del servicio de barrido por semana [limpiezas/semana]</t>
  </si>
  <si>
    <t>Rendimiento barredora [km/barredora*día]</t>
  </si>
  <si>
    <t>Rendimiento de barrido [km/barrendero*día]</t>
  </si>
  <si>
    <t>A.1 Recolección por acera</t>
  </si>
  <si>
    <t>A.2 Recolección por acera</t>
  </si>
  <si>
    <t>B.1 Recolección por esquina</t>
  </si>
  <si>
    <t>B.2 Recolección por esquina</t>
  </si>
  <si>
    <t>Esquina</t>
  </si>
  <si>
    <t>Cantidad de camiones de recolección necesarios NO REDONDEADO [camiones]</t>
  </si>
  <si>
    <t>Cantidad de viajes por turnos de trabajo diario NO REDONDEADO [viajes]</t>
  </si>
  <si>
    <t>Recolección por acera</t>
  </si>
  <si>
    <t>Recolección por esquina</t>
  </si>
  <si>
    <t>Tractor (marca, modelo)</t>
  </si>
  <si>
    <t>Papeleros públicos</t>
  </si>
  <si>
    <t>Garage</t>
  </si>
  <si>
    <t>Responsable Unidad Comercial</t>
  </si>
  <si>
    <t>Volumen de vehículo de recolección segundaria [m3]</t>
  </si>
  <si>
    <t>Unidades</t>
  </si>
  <si>
    <t>English</t>
  </si>
  <si>
    <t>Idioma</t>
  </si>
  <si>
    <t>Español</t>
  </si>
  <si>
    <t>Language</t>
  </si>
  <si>
    <t>The tool includes the following elements:</t>
  </si>
  <si>
    <t>Service provision</t>
  </si>
  <si>
    <t>Personnel</t>
  </si>
  <si>
    <t>Quantity of personnel is specific position</t>
  </si>
  <si>
    <t>Dedication to the provision of solid waste management service [%]</t>
  </si>
  <si>
    <t>Streets and public areas sweeping</t>
  </si>
  <si>
    <t>Maintenance workshop</t>
  </si>
  <si>
    <t>Waste collection</t>
  </si>
  <si>
    <t>Composting facility</t>
  </si>
  <si>
    <t>Recycling facility</t>
  </si>
  <si>
    <t>Transfer station and transport</t>
  </si>
  <si>
    <t>Final disposal</t>
  </si>
  <si>
    <t>Vehicles</t>
  </si>
  <si>
    <t>Quantity []</t>
  </si>
  <si>
    <t>Loan interest rate [%]</t>
  </si>
  <si>
    <t>Lifetime [years]</t>
  </si>
  <si>
    <t>Equipment (personal protection, materials, IT and others…)</t>
  </si>
  <si>
    <t>Infraestructura, diseño y terrenos</t>
  </si>
  <si>
    <t>Infrastructure, design and land</t>
  </si>
  <si>
    <t>Operación y mantenimiento</t>
  </si>
  <si>
    <t>Operation and maintenance</t>
  </si>
  <si>
    <t>Service administration</t>
  </si>
  <si>
    <t>Planning and control</t>
  </si>
  <si>
    <t>En el caso del costo de educación y comunicación, se propone calcularlo con el detalle o con un porcentaje de los costos totales</t>
  </si>
  <si>
    <t>Yes</t>
  </si>
  <si>
    <t>Percentage applied [%]</t>
  </si>
  <si>
    <t>Education and communication</t>
  </si>
  <si>
    <t>Tips to users:
 You can enter data for several years to account for an averaged value. If you use data from several years, note that the model will use the data to make averages and account for the number of different years entered. Please enter complete data for each year.
If you only have information for one year, enter data for that year only.</t>
  </si>
  <si>
    <t>Indicaciones de uso:
Monto facturado: una facturación fue emitida y entregada
Monto cobrado: el pago fue realizado y contabilizado</t>
  </si>
  <si>
    <t>Tips to users:
Billed amount: a bill was emitted and delivered
Amount charged: the payment was done and accounted for</t>
  </si>
  <si>
    <t>Household billing</t>
  </si>
  <si>
    <t>Description</t>
  </si>
  <si>
    <t>Año</t>
  </si>
  <si>
    <t>Year</t>
  </si>
  <si>
    <t>Units</t>
  </si>
  <si>
    <t>Arrears [%]</t>
  </si>
  <si>
    <t>Non household billing</t>
  </si>
  <si>
    <t>Ingresos por convenios</t>
  </si>
  <si>
    <t>Income from contracts</t>
  </si>
  <si>
    <t>Other incomes</t>
  </si>
  <si>
    <t>Yearly average</t>
  </si>
  <si>
    <t>Current picture of solid waste management</t>
  </si>
  <si>
    <t>Management entity</t>
  </si>
  <si>
    <t>City</t>
  </si>
  <si>
    <t>Ciudad</t>
  </si>
  <si>
    <t>Habitantes con servicio de gestión de residuos sólidos [personas]</t>
  </si>
  <si>
    <t>Por favor, ingresar población y cobertura en pestaña 2a) Datos_escenarios.</t>
  </si>
  <si>
    <t>Please, fill the population and coverage data in the sheet: 2a) Datos_escenarios.</t>
  </si>
  <si>
    <t>Segregated waste collection</t>
  </si>
  <si>
    <t>Organics management</t>
  </si>
  <si>
    <t>Final disposal management</t>
  </si>
  <si>
    <t>They are not managed separately</t>
  </si>
  <si>
    <t>Composting</t>
  </si>
  <si>
    <t>Other treatment</t>
  </si>
  <si>
    <t>Disposed in final disposal site</t>
  </si>
  <si>
    <t>Sorting facility</t>
  </si>
  <si>
    <t>Other type of management</t>
  </si>
  <si>
    <t>No defined site</t>
  </si>
  <si>
    <t>Dumpsite</t>
  </si>
  <si>
    <t>Controlled dumpsite</t>
  </si>
  <si>
    <t>Sanitary landfill with leachate management</t>
  </si>
  <si>
    <t>Sanitary landfill with gas treatment</t>
  </si>
  <si>
    <t>Relleno sanitario completo con tratamiento de gases</t>
  </si>
  <si>
    <t>Total cumulated distance of the collection vehicles per year [km/year]</t>
  </si>
  <si>
    <t>Weight of organic waste recovered and treated per year [t/year]</t>
  </si>
  <si>
    <t>Peso de los residuos reciclables recolectados y tratados o que entran cadena de reciclaje por año [t/año]</t>
  </si>
  <si>
    <t>Peso de los residuos sólidos depositados en sitio de disposición final por año [t/año]</t>
  </si>
  <si>
    <t>Weight of solid waste disposed in the final disposal site per year [t/year]</t>
  </si>
  <si>
    <t>Total length of paved roads of the coverage area [km]</t>
  </si>
  <si>
    <t>Total length of paved roads that receive sweeping service [km]</t>
  </si>
  <si>
    <t>Total area of public spaces [m2]</t>
  </si>
  <si>
    <t>Total cumulated area of public spaces cleaned per year [m2/year]</t>
  </si>
  <si>
    <t>Number of employees of the street sweeping service</t>
  </si>
  <si>
    <t>Number of trucks of the collection service</t>
  </si>
  <si>
    <t>Number of trucks of the transfer service</t>
  </si>
  <si>
    <t>Total de camiones del servicio de recolección</t>
  </si>
  <si>
    <t>Total de camiones del servicio de transferencia</t>
  </si>
  <si>
    <t>Total de empleadas/os de transferencia y transporte (si hay estación de transferencia)</t>
  </si>
  <si>
    <t>Total de empleadas/os servicio de recolección segundaria</t>
  </si>
  <si>
    <t>Total de empleadas/os servicio de recolección primaria</t>
  </si>
  <si>
    <t>Total de empleadas/os de servicio de barrido de vías</t>
  </si>
  <si>
    <t>Number of employees of the secondary collection service</t>
  </si>
  <si>
    <t>Number of employees of the primary collection service</t>
  </si>
  <si>
    <t>Number of employees of the public area sweeping service</t>
  </si>
  <si>
    <t>Number of employees of the transfer station and transport service (if there is a transfer station)</t>
  </si>
  <si>
    <t>Efficiency indicators</t>
  </si>
  <si>
    <t>Ingreso de datos para cálculos de modelización</t>
  </si>
  <si>
    <t>Data input for model calculations</t>
  </si>
  <si>
    <t>Ingreso de costos del servicio de gestión de los residuos sólidos</t>
  </si>
  <si>
    <t>Input of costs of solid waste management service provision</t>
  </si>
  <si>
    <t>Ingreso de ingresos del servicio de gestión de residuos sólidos</t>
  </si>
  <si>
    <t>Input of income of the solid waste management service</t>
  </si>
  <si>
    <t>A) General information</t>
  </si>
  <si>
    <t>Tips</t>
  </si>
  <si>
    <t>Población total</t>
  </si>
  <si>
    <t>Total population</t>
  </si>
  <si>
    <t>Average number of persons per household</t>
  </si>
  <si>
    <t>Numero promedio de personas por vivienda</t>
  </si>
  <si>
    <t>Service coverage [%]</t>
  </si>
  <si>
    <t>% of the population that receive the collection service</t>
  </si>
  <si>
    <t>Solid waste generation per day and per person [kg/pers*day]</t>
  </si>
  <si>
    <t>Generación de residuos sólidos por día y por persona [kg/hab*día]</t>
  </si>
  <si>
    <t>Days of generation per week [days/week]</t>
  </si>
  <si>
    <t>Road density [km/km2]</t>
  </si>
  <si>
    <t>Total considered area [km2]</t>
  </si>
  <si>
    <t>Enter the total area of the city - were your population indicated previously lives</t>
  </si>
  <si>
    <t>Ingresar la superficie total de la ciudad - donde la población ingresada anteriormente vive</t>
  </si>
  <si>
    <t>B) Solid waste characteristics</t>
  </si>
  <si>
    <t>If local data is not available, use literature values representative of the context</t>
  </si>
  <si>
    <t>Organic fraction by weight [%]</t>
  </si>
  <si>
    <t>Fracción orgánica por peso [%]</t>
  </si>
  <si>
    <t>Papel y cartón por peso [%]</t>
  </si>
  <si>
    <t>Metales por peso [%]</t>
  </si>
  <si>
    <t>Plásticos por peso [%]</t>
  </si>
  <si>
    <t>Vidrios por peso [%]</t>
  </si>
  <si>
    <t>Metals by weight [%]</t>
  </si>
  <si>
    <t>Plastics by weight [%]</t>
  </si>
  <si>
    <t>Glass by weight [%]</t>
  </si>
  <si>
    <t>Take into account that these are % by weight</t>
  </si>
  <si>
    <t>Others &amp; waste by weight [%]</t>
  </si>
  <si>
    <t>Otros &amp; desechos por peso [%]</t>
  </si>
  <si>
    <t>Densidad de residuos sólidos mixtos sueltos [kg/m3]</t>
  </si>
  <si>
    <t>Density of mixed loose solid waste [kg/m3]</t>
  </si>
  <si>
    <t>Density of mixed solid waste in transfer vehicles [kg/m3]</t>
  </si>
  <si>
    <t>Density of organic waste [kg/m3]</t>
  </si>
  <si>
    <t>Paper and cardboard by weight [%]</t>
  </si>
  <si>
    <t>Density of paper and cardboard [kg/m3]</t>
  </si>
  <si>
    <t>Density of metals [kg/m3]</t>
  </si>
  <si>
    <t>Density of plastics [kg/m3]</t>
  </si>
  <si>
    <t>Density of glass [kg/m3]</t>
  </si>
  <si>
    <t>Includes all waste not specified above</t>
  </si>
  <si>
    <t>Density of others &amp; waste [kg/m3]</t>
  </si>
  <si>
    <t>C) Collection and transfer vehicles</t>
  </si>
  <si>
    <t>Volume of secondary collection vehicles [m3]</t>
  </si>
  <si>
    <t>Compaction rate of collection vehicles []</t>
  </si>
  <si>
    <t>Compaction rate of collection vehicles specific to organic waste []</t>
  </si>
  <si>
    <t>Volume of transfer vehicles [m3]</t>
  </si>
  <si>
    <t>Compaction rate of transfer vehicles []</t>
  </si>
  <si>
    <t>Consumo de gasolina/diésel de vehículos de recolección segundaria [L/km]</t>
  </si>
  <si>
    <t>Fuel consumption of transfer vehicles [L/km]</t>
  </si>
  <si>
    <t>Fuel consumption of secondary collection vehicles [L/km]</t>
  </si>
  <si>
    <t>Vehículos utilizados para la recolección. Volumen de 1 vehículo.</t>
  </si>
  <si>
    <t>Vehicle used to collect waste. Volume of 1 vehicle.</t>
  </si>
  <si>
    <t>If compactor the rate is &gt;2, otherwise the indicative rate is 1.2-1.5</t>
  </si>
  <si>
    <t>Vehicles used from a transfer station to final disposal site</t>
  </si>
  <si>
    <t>D) Primary collection</t>
  </si>
  <si>
    <t>Is there primary collection in some area(s) considered?</t>
  </si>
  <si>
    <t>Type of primary collection</t>
  </si>
  <si>
    <t>Coverage [%]</t>
  </si>
  <si>
    <t>Población total recolectada con recolección primaria</t>
  </si>
  <si>
    <t>Total population receiving primary collection service</t>
  </si>
  <si>
    <t>Total area with primary collection [km2]</t>
  </si>
  <si>
    <t>Volume of primary collection vehicles [m3]</t>
  </si>
  <si>
    <t>Compaction rate []</t>
  </si>
  <si>
    <t>Collection frequency per week [#/week]</t>
  </si>
  <si>
    <t>Quantity of personnel per primary collection vehicle</t>
  </si>
  <si>
    <t>Collection speed [km/h]</t>
  </si>
  <si>
    <t>Input of collection speed [km/h]</t>
  </si>
  <si>
    <t>Average distance between primary collection site and secondary collection transfer point [km]</t>
  </si>
  <si>
    <t>Average distance between home of primary collectors and primary collection site [km]</t>
  </si>
  <si>
    <t>Time to transfer at the secondary collection transfer point [min]</t>
  </si>
  <si>
    <t>Maximum kilometrage of primary collection vehicles [km]</t>
  </si>
  <si>
    <t>Primary collection is a collection door to door with small vehicles that transfer the waste to the secondary collection at transfer points</t>
  </si>
  <si>
    <t>Input manually the speed of collection - compulsory if the type of collection is "mixed"</t>
  </si>
  <si>
    <t>Cart (human-powered)</t>
  </si>
  <si>
    <t>Tricycle (human-powered)</t>
  </si>
  <si>
    <t>Saddlebags (animal traction)</t>
  </si>
  <si>
    <t>Wagon (animal-drawn)</t>
  </si>
  <si>
    <t>Small truck (motorised traction)</t>
  </si>
  <si>
    <t>Motorised tricycle (motorised traction)</t>
  </si>
  <si>
    <t>Mixed</t>
  </si>
  <si>
    <t>E) Collection routes</t>
  </si>
  <si>
    <t>Average distance between the last point of collection and the transfer station [km]</t>
  </si>
  <si>
    <t>Average distance between the last point of collection and final disposal site [km]</t>
  </si>
  <si>
    <t>Average distance between the transfer station and the final disposal site [km]</t>
  </si>
  <si>
    <t>Average distance between the last point of collection to the composting site [km]</t>
  </si>
  <si>
    <t>Average distance between the last point of collection to the sorting/recycling site [km]</t>
  </si>
  <si>
    <t>Distancia promedio desde el último punto de recolección hacia planta de clasificación/reciclaje [km]</t>
  </si>
  <si>
    <t>Average speed in urban areas for collection vehicles [km/h]</t>
  </si>
  <si>
    <t>Average speed outside urban areas for collection vehicles [km/h]</t>
  </si>
  <si>
    <t>Average speed outside urban areas for transfer vehicles [km/h]</t>
  </si>
  <si>
    <t>Applies for calculations without transfer station</t>
  </si>
  <si>
    <t>Applies for calculations with transfer station</t>
  </si>
  <si>
    <t>F) Personnel</t>
  </si>
  <si>
    <t>To be filled as an average per person</t>
  </si>
  <si>
    <t>Number of days of holidays per year [days/year]</t>
  </si>
  <si>
    <t>Number of legal working day per week [days/week]</t>
  </si>
  <si>
    <t>Number of working hours per day [hours/day]</t>
  </si>
  <si>
    <t>Días laborales legales por semana [días/semana]</t>
  </si>
  <si>
    <t>Horas laborales por día laboral [horas/día]</t>
  </si>
  <si>
    <t>Number of public holidays per year [days/year]</t>
  </si>
  <si>
    <t>Equivalent working days per week [days/week]</t>
  </si>
  <si>
    <t>Is Saturday a working day?</t>
  </si>
  <si>
    <t>Is Sunday a working day?</t>
  </si>
  <si>
    <t>Logical test []</t>
  </si>
  <si>
    <t>Factor applied to the number of trucks needed []</t>
  </si>
  <si>
    <t>Total working hours per year [hours/year]</t>
  </si>
  <si>
    <t>Horas laborales por año [horas/año]</t>
  </si>
  <si>
    <t>If collection is possible from 6 am to 22 pm (16 hours or more per day) then it is possible to have 2 shifts during the same day</t>
  </si>
  <si>
    <t>Personal ayudante en camión de recolección o transferencia</t>
  </si>
  <si>
    <t>Personal de estación de transferencia</t>
  </si>
  <si>
    <t>Costs for 1 person in all these lines</t>
  </si>
  <si>
    <t>Incluye materiales, suministros varios y equipo</t>
  </si>
  <si>
    <t>Staff on the collection vehicle or transfer vehicle</t>
  </si>
  <si>
    <t>Staff at the transfer station</t>
  </si>
  <si>
    <t>Includes materials, various supplies and equipment</t>
  </si>
  <si>
    <t>G) Household collection</t>
  </si>
  <si>
    <t>Collection frequency for mixed containers per week [#/week]</t>
  </si>
  <si>
    <t>Collection frequency for waste containers per week [#/week]</t>
  </si>
  <si>
    <t>Collection frequency for organics containers per week [#/week]</t>
  </si>
  <si>
    <t>Number of times that specific routes are collected (models A and B)</t>
  </si>
  <si>
    <t>Applies for model with containers (C)</t>
  </si>
  <si>
    <t>Applies for model with segregated waste and containers (D)</t>
  </si>
  <si>
    <t>Time to empty the collection vehicles in the transfer station of final disposal site [minutes]</t>
  </si>
  <si>
    <t>Times to fill the transfer vehicles in the transfer station [minutes]</t>
  </si>
  <si>
    <t>Time to empty the transfer vehicles in the final disposal site [minutes]</t>
  </si>
  <si>
    <t>H) Emptying times</t>
  </si>
  <si>
    <t>I) Lifetime and costs</t>
  </si>
  <si>
    <t>Maximum kilometrage of secondary collection vehicles [km]</t>
  </si>
  <si>
    <t>Maximum kilometrage of transfer vehicles [km]</t>
  </si>
  <si>
    <t>Lifetime of containers [years]</t>
  </si>
  <si>
    <t>Lifetime of transfer station [years]</t>
  </si>
  <si>
    <t>J) Container's characteristics</t>
  </si>
  <si>
    <t>For scenarios with single containers (C)</t>
  </si>
  <si>
    <t>Volume of mixed waste containers [m3]</t>
  </si>
  <si>
    <t>Filling rate of mixed waste containers [%]</t>
  </si>
  <si>
    <t>For scenarios with segregated collection and multiple containers per type (D)</t>
  </si>
  <si>
    <t>Volume of organic waste containers [m3]</t>
  </si>
  <si>
    <t>Filling rate of organic waste containers [%]</t>
  </si>
  <si>
    <t>Volume of recyclable waste containers [m3]</t>
  </si>
  <si>
    <t>Eficiencia de separación de reciclables en la fuente [%]</t>
  </si>
  <si>
    <t>Eficiencia de separación de orgánicos en la fuente [%]</t>
  </si>
  <si>
    <t>Por defecto = 80%
Es la proporción de reciclables totales que se logra separar por los generadores de residuos en la fuente</t>
  </si>
  <si>
    <t>Por defecto = 80%
Es la proporción de orgánicos totales que se logra separar por los generadores de residuos en la fuente</t>
  </si>
  <si>
    <t>K) Street sweeping</t>
  </si>
  <si>
    <t>Manual street sweeping</t>
  </si>
  <si>
    <t>Frequency of the service per week [sweeps/week]</t>
  </si>
  <si>
    <t>Length of paved road with manual sweeping service [km]</t>
  </si>
  <si>
    <t>Sweeping performance [km/person*day]</t>
  </si>
  <si>
    <t>Good</t>
  </si>
  <si>
    <t>Bad</t>
  </si>
  <si>
    <t>Average</t>
  </si>
  <si>
    <t>Length of paved road with mechanised sweeping service [km]</t>
  </si>
  <si>
    <t>Mechanised street sweeping</t>
  </si>
  <si>
    <t>Lifetime of the vehicle used [years]</t>
  </si>
  <si>
    <t>Public areas sweeping (parks and others)</t>
  </si>
  <si>
    <t>Rendimiento limpieza áreas públicas [m2/barrendero*día]</t>
  </si>
  <si>
    <t>Sweeping performance [m2/person*day]</t>
  </si>
  <si>
    <t>Number of public dustbins []</t>
  </si>
  <si>
    <t>Lifetime of dustbins [years]</t>
  </si>
  <si>
    <t>Personnel and materials costs</t>
  </si>
  <si>
    <t>Indicative values: from 10 to 40 km/person*day, depends of the vehicle used</t>
  </si>
  <si>
    <t>Includes materials, various supplies and personnel equipment</t>
  </si>
  <si>
    <t>L) Composting, recycling and final disposal</t>
  </si>
  <si>
    <t>Recycling</t>
  </si>
  <si>
    <t>Calculations scenarios</t>
  </si>
  <si>
    <t>Indicaciones de uso:
Se puede utilizar la herramienta sin modificar esta pestaña.
Para un uso avanzado de la herramienta: las casillas en gris claro pueden modificarse.</t>
  </si>
  <si>
    <t>Tips for users:
You can use the tool without any modification in this sheet
For an advanced use: grey background cells can be modified</t>
  </si>
  <si>
    <t>Transfer station in use?</t>
  </si>
  <si>
    <t>Type of collection</t>
  </si>
  <si>
    <t>At each house</t>
  </si>
  <si>
    <t>At corners</t>
  </si>
  <si>
    <t>A.1 Curbside collection</t>
  </si>
  <si>
    <t>A.2 Curbside collection</t>
  </si>
  <si>
    <t>B.1 Block collection</t>
  </si>
  <si>
    <t>B.2 Block collection</t>
  </si>
  <si>
    <t>C.2 Container collection (mixed waste)</t>
  </si>
  <si>
    <t>D.1 Container collection (segregated waste)</t>
  </si>
  <si>
    <t>D.2 Container collection (segregated waste)</t>
  </si>
  <si>
    <t>Waste</t>
  </si>
  <si>
    <t>Recyclables</t>
  </si>
  <si>
    <t>Organics</t>
  </si>
  <si>
    <t>Is this specific fraction segregated?</t>
  </si>
  <si>
    <t>Calculations</t>
  </si>
  <si>
    <t>Recolección primaria</t>
  </si>
  <si>
    <t>Primary collection</t>
  </si>
  <si>
    <t>Household waste generation [kg/day]</t>
  </si>
  <si>
    <t>Non-household waste generation [kg/day]</t>
  </si>
  <si>
    <t>Quantity of household waste to be managed on working days [kg/day]</t>
  </si>
  <si>
    <t>Quantity of non-household waste to be managed on working days [kg/day]</t>
  </si>
  <si>
    <t>Number of equivalent families</t>
  </si>
  <si>
    <t>Density of equivalent population [persons/km2]</t>
  </si>
  <si>
    <t>Correction factor for distance []</t>
  </si>
  <si>
    <t>Corrected total length of roads to collect [km]</t>
  </si>
  <si>
    <t>Average number of families collected per stop</t>
  </si>
  <si>
    <t>Time required at each stop [minutes]</t>
  </si>
  <si>
    <t>Number of stops required []</t>
  </si>
  <si>
    <t>Number of persons per stop [persons]</t>
  </si>
  <si>
    <t>Average distance between 2 stops [km]</t>
  </si>
  <si>
    <t>Truck volume [m3]</t>
  </si>
  <si>
    <t>Numero de paradas de recolección por viaje [paradas/viaje]</t>
  </si>
  <si>
    <t>Number of stops per trip [stops/trip]</t>
  </si>
  <si>
    <t>Number of trips per week needed [trips/week]</t>
  </si>
  <si>
    <t>Average distance per trip [km]</t>
  </si>
  <si>
    <t>Total distance per week [km]</t>
  </si>
  <si>
    <t>Total time for collection [minutes]</t>
  </si>
  <si>
    <t>Time required per trip for the route in urban area [hours]</t>
  </si>
  <si>
    <t>Time required per trip for the route in urban area [minutes]</t>
  </si>
  <si>
    <t>Distance [km]</t>
  </si>
  <si>
    <t>Time required per trip for the route outside urban area, back and forth [hours]</t>
  </si>
  <si>
    <t>Time required per trip for the route outside urban area, back and forth [minutes]</t>
  </si>
  <si>
    <t>Total time per trip [minutes/trip]</t>
  </si>
  <si>
    <t>Total time per trip [hours/trip]</t>
  </si>
  <si>
    <t>Time required back and forth to the parking [hours]</t>
  </si>
  <si>
    <t>Availability of collection team in percentage [%]</t>
  </si>
  <si>
    <t>Number of trip per daily shift [trips]</t>
  </si>
  <si>
    <t>Number of trips per week possible per truck [trips/week]</t>
  </si>
  <si>
    <t>Rate of unavailability of collection vehicles [%]</t>
  </si>
  <si>
    <t>Number of collection vehicles needed considering precautious increase and the possibility to have 2 shifts per day and to work on Saturdays or Sundays [vehicles]</t>
  </si>
  <si>
    <t>Total personnel of primary collection service [persons]</t>
  </si>
  <si>
    <t>Weekly distance collection vehicles (parking to city) [km/week]</t>
  </si>
  <si>
    <t>Weekly collection distance [km/week]</t>
  </si>
  <si>
    <t>Weekly distance collection vehicles from city to transfer station or final disposal (if no transfer) [km/week]</t>
  </si>
  <si>
    <t>Weekly distance from transfer station to final disposal site [km/week]</t>
  </si>
  <si>
    <t>Interest rate for loan calculations [%]</t>
  </si>
  <si>
    <t>Depreciation of the vehicles in years [years]</t>
  </si>
  <si>
    <t>Correction of distances and times required</t>
  </si>
  <si>
    <t>Distance correction factor []</t>
  </si>
  <si>
    <t>Time per stop to collect waste [minutes]</t>
  </si>
  <si>
    <t>Time to empty collection trucks at transfer station [minutes]</t>
  </si>
  <si>
    <t>Time to empty transfer trucks at final disposal site [minutes]</t>
  </si>
  <si>
    <t>Time to fill transfer trucks at transfer station [minutes]</t>
  </si>
  <si>
    <t>Quantity of transfer stations</t>
  </si>
  <si>
    <t>Indicative values: from 1 to 30. 1 to model a house by house service, 30 at blocks. Distance between stop must be checked so it is realist. Check the time per stop, it has to correspond to the number of persons indicated here.</t>
  </si>
  <si>
    <t>Always 1 if containers
Use 1 for blocks, use 1.2 house by house</t>
  </si>
  <si>
    <t>Definition of quantities of waste and distances to collect</t>
  </si>
  <si>
    <t>Total household generation per day [kg/day]</t>
  </si>
  <si>
    <t>Household generation per day to collect [kg/day]</t>
  </si>
  <si>
    <t>Total household waste to manage on working days [kg/day]</t>
  </si>
  <si>
    <t>Total non-household generation per day [kg/day]</t>
  </si>
  <si>
    <t>Non-household generation per day to collect [kg/day]</t>
  </si>
  <si>
    <t>Total non-household waste to manage on working days [kg/day]</t>
  </si>
  <si>
    <t>Total generation per day [kg/day]</t>
  </si>
  <si>
    <t>Total generation per day to collect [kg/day]</t>
  </si>
  <si>
    <t>Total waste to manage on working days [kg/day]</t>
  </si>
  <si>
    <t>Logical test for segregation of specific material []</t>
  </si>
  <si>
    <t>Additional portion of waste due to efficiency of segregation or/and the non-management of one fraction [kg/week]</t>
  </si>
  <si>
    <t>Maximum distance between two containers points [km]</t>
  </si>
  <si>
    <t>Number of containers calculated raw [units]</t>
  </si>
  <si>
    <t>Number of containers needed - checked [units]</t>
  </si>
  <si>
    <t>Equivalent population per container or point of collection (segregated case) [persons/container]</t>
  </si>
  <si>
    <t>Containers per km [container/km]</t>
  </si>
  <si>
    <t>Number of stops per km [stops/km]</t>
  </si>
  <si>
    <t>Containers per km corrected/controlled [container/km]</t>
  </si>
  <si>
    <t>Average distance between 2 stops corrected/controlled [km]</t>
  </si>
  <si>
    <t>Number of containers emptied per trip [containers/trip]</t>
  </si>
  <si>
    <t>Average filling rate of containers [%]</t>
  </si>
  <si>
    <t>Number of collection stops [stops]</t>
  </si>
  <si>
    <t>Average distance travelled per trip [km/trip]</t>
  </si>
  <si>
    <t>Total distance travelled per week [km/week]</t>
  </si>
  <si>
    <t>Takes into account the mean coverage of the service</t>
  </si>
  <si>
    <t>Defines a maximum theoretical distance between containers, here it is considered 200m as maximum for a user to use the service: 400m between stops then.</t>
  </si>
  <si>
    <t>Takes into account the non-household generation</t>
  </si>
  <si>
    <t>Definir la cantidad de familias por parada para que este valor sea correcto. 50-400 m entre las paradas en una ciudad parece adecuado.</t>
  </si>
  <si>
    <t>Estimation of times from collection point to transfer station or final disposal</t>
  </si>
  <si>
    <t>Total time required for collection [minutes]</t>
  </si>
  <si>
    <t>Time required per trip in urban areas [hours]</t>
  </si>
  <si>
    <t>Time required per trip in urban areas [minutes]</t>
  </si>
  <si>
    <t>Time required outside urban areas, back and forth [hours]</t>
  </si>
  <si>
    <t>Time required outside urban areas, back and forth [minutes]</t>
  </si>
  <si>
    <t>Number of trips per daily shift [trips]</t>
  </si>
  <si>
    <t>Number of trips possible per week and per person [trips/week]</t>
  </si>
  <si>
    <t>Collection times</t>
  </si>
  <si>
    <t>Effective collection time per trip [minutes]</t>
  </si>
  <si>
    <t>Travel time to final disposal or transfer station [minutes]</t>
  </si>
  <si>
    <t>Time to empty trucks per trip [minutes]</t>
  </si>
  <si>
    <t>Hours per working day [hours]</t>
  </si>
  <si>
    <t>Horas disponibles por día laboral [h]</t>
  </si>
  <si>
    <t>Available hours per working day [hours]</t>
  </si>
  <si>
    <t>Hours of break [hours]</t>
  </si>
  <si>
    <t>Time to and from the parking [hours]</t>
  </si>
  <si>
    <t>Hours collecting [hours]</t>
  </si>
  <si>
    <t>Hours emptying the truck at final disposal or transfer station [hours]</t>
  </si>
  <si>
    <t>Hours not used [hours]</t>
  </si>
  <si>
    <t>Time distribution</t>
  </si>
  <si>
    <t>Collection [%]</t>
  </si>
  <si>
    <t>Transport [%]</t>
  </si>
  <si>
    <t>Estimation of required collection trucks and related costs</t>
  </si>
  <si>
    <t>Number of collection trucks required
Applies for weekly and daily working time of 1 person</t>
  </si>
  <si>
    <t>Control: use of trucks in percentage - validation if average is not affecting [%]</t>
  </si>
  <si>
    <t>Very relevant for cases with few trucks, it calculates the % of real use of trucks. You can use this data when separating zones of the city per blocks - trucks are not used 100% in each block and could be shared.</t>
  </si>
  <si>
    <t>Estimation of times from transfer station to final disposal site</t>
  </si>
  <si>
    <t>Total volume to transfer weekly [m3/week]</t>
  </si>
  <si>
    <t>Percentage of segregated waste collected that goes to final disposal [%]</t>
  </si>
  <si>
    <t>Time required back and forth [minutes]</t>
  </si>
  <si>
    <t>Total time required per trip [minutes]</t>
  </si>
  <si>
    <t>Total time required per trip [hours]</t>
  </si>
  <si>
    <t>Availability of transfer team in percentage [%]</t>
  </si>
  <si>
    <t>Number of trips per week [trips/week]</t>
  </si>
  <si>
    <t>Estimation of transfer trucks needed and related costs</t>
  </si>
  <si>
    <t>Number of transfer trucks needed</t>
  </si>
  <si>
    <t>Number of transfer trucks needed NOT ROUNDED</t>
  </si>
  <si>
    <t>Number of trip per daily shift NOT ROUNDED [trips]</t>
  </si>
  <si>
    <t>Number of trips per daily shift NOT ROUNDED [trips]</t>
  </si>
  <si>
    <t>Time of non availability of transfer trucks in percentage [%]</t>
  </si>
  <si>
    <t>Time of non availability of collection trucks in percentage [%]</t>
  </si>
  <si>
    <t>Number of transfer trucks required considering precaution increase</t>
  </si>
  <si>
    <t>Estimation of transfer station costs</t>
  </si>
  <si>
    <t>Estimation of salaries, benefits and equipment costs</t>
  </si>
  <si>
    <t>Number of transfer stations</t>
  </si>
  <si>
    <t>Number of drivers of collection trucks</t>
  </si>
  <si>
    <t>Number of workers per collection truck</t>
  </si>
  <si>
    <t>Number of workers for collection</t>
  </si>
  <si>
    <t>Number of drivers of transfer trucks</t>
  </si>
  <si>
    <t>Number of workers per transfer truck</t>
  </si>
  <si>
    <t>Number of workers for transfer</t>
  </si>
  <si>
    <t>Number of workers per transfer station</t>
  </si>
  <si>
    <t>Number of worker at transfer station</t>
  </si>
  <si>
    <t>Total amount of drivers</t>
  </si>
  <si>
    <t>Total amount of workers</t>
  </si>
  <si>
    <t>Total amount of personnel at transfer station</t>
  </si>
  <si>
    <t>Per default = 2</t>
  </si>
  <si>
    <t>Per default = 90%</t>
  </si>
  <si>
    <t>Per default = 5%</t>
  </si>
  <si>
    <t>Per default = 2, 4 without containers</t>
  </si>
  <si>
    <t>Per default = 0</t>
  </si>
  <si>
    <t>By default = 7</t>
  </si>
  <si>
    <t>By default = 161</t>
  </si>
  <si>
    <t>By default = 300</t>
  </si>
  <si>
    <t>By default = 200</t>
  </si>
  <si>
    <t>By default = 1200</t>
  </si>
  <si>
    <t>By default = 50</t>
  </si>
  <si>
    <t>By default = 800</t>
  </si>
  <si>
    <t>By default equals to mixed loose solid waste</t>
  </si>
  <si>
    <t>Per default = 1.1</t>
  </si>
  <si>
    <t>Per default, equals 80% of the compaction rate for collection vehicles</t>
  </si>
  <si>
    <t>Per default = 0.45</t>
  </si>
  <si>
    <t>Per default = 0.3</t>
  </si>
  <si>
    <t>By default = defined in secondary collection</t>
  </si>
  <si>
    <t>By default = 200 m</t>
  </si>
  <si>
    <t>By default = 2 km</t>
  </si>
  <si>
    <t>By default = 3 minutes</t>
  </si>
  <si>
    <t>By default = 150'000</t>
  </si>
  <si>
    <t>By default = same as for transfer station</t>
  </si>
  <si>
    <t>By default = 15</t>
  </si>
  <si>
    <t>By default = 40</t>
  </si>
  <si>
    <t>By default = 5</t>
  </si>
  <si>
    <t>By default = 8</t>
  </si>
  <si>
    <t>By default = 20</t>
  </si>
  <si>
    <t>By default = 12</t>
  </si>
  <si>
    <t>By default = 1.1</t>
  </si>
  <si>
    <t>By default = 80</t>
  </si>
  <si>
    <t>By default = 80
Has to be less that 100% because it is an average - if it is set to 100% then the containers would overfill all the time</t>
  </si>
  <si>
    <t>By default = 80
It is the percentage of recyclable that generators are able to segregate at source</t>
  </si>
  <si>
    <t>By default = 80
It is the percentage of organics that generators are able to segregate at source</t>
  </si>
  <si>
    <t>Per default = 140</t>
  </si>
  <si>
    <t>Per default = 100</t>
  </si>
  <si>
    <t>By default = 1 for containers
By default = 1 for block stops
By default = 0.1 for house by house</t>
  </si>
  <si>
    <t>By default there is only 1 transfer station</t>
  </si>
  <si>
    <t>By default = 90%</t>
  </si>
  <si>
    <t>Per default = 0%</t>
  </si>
  <si>
    <t>Estimation of costs of usage of vehicles and amortization (vehicles and transfer station)</t>
  </si>
  <si>
    <t>Weekly distance for collection [km/week]</t>
  </si>
  <si>
    <t>Weekly distance collection vehicles (parking-city) [km/week]</t>
  </si>
  <si>
    <t>Weekly distance for collection from city to transfer station or final disposal (if no transfer) [km/week]</t>
  </si>
  <si>
    <t>Lifetime of collection vehicles [years]</t>
  </si>
  <si>
    <t>Lifetime of transfer vehicles [years]</t>
  </si>
  <si>
    <t>Kilometrage of collection vehicles per year [km/year]</t>
  </si>
  <si>
    <t>Kilometrage of transfer vehicles per year [km/year]</t>
  </si>
  <si>
    <t>Total kilometrage of the service per year [km/year]</t>
  </si>
  <si>
    <t>Yearly kilometrage per collection vehicle [km/year]</t>
  </si>
  <si>
    <t>Yearly kilometrage per transfer vehicle [km/year]</t>
  </si>
  <si>
    <t>Kilometrage distribution for collection vehicles</t>
  </si>
  <si>
    <t>Estimation of final disposal costs</t>
  </si>
  <si>
    <t>Tons of waste disposed per year [ton/year]</t>
  </si>
  <si>
    <t>Estimation of costs for composting</t>
  </si>
  <si>
    <t>Tons of organic waste entering the plan per year [ton/year]</t>
  </si>
  <si>
    <t>Mass loss factor [%]</t>
  </si>
  <si>
    <t>Tons of compost produced per year [ton/year]</t>
  </si>
  <si>
    <t>Per default = 14</t>
  </si>
  <si>
    <t>Per default = 0.6</t>
  </si>
  <si>
    <t>Estimation of costs for recycling</t>
  </si>
  <si>
    <t>Estimación de costos de reciclaje</t>
  </si>
  <si>
    <t>Tons of recyclable entering the plant per year [ton/year]</t>
  </si>
  <si>
    <t>Tons of recyclable materials that can be sold per year [ton/year]</t>
  </si>
  <si>
    <t>Tons of recyclable that have to be sent to final disposal per year [ton/year]</t>
  </si>
  <si>
    <t>Estimation of administration costs</t>
  </si>
  <si>
    <t>Percentage of total yearly costs [%]</t>
  </si>
  <si>
    <t>Estimation of planning and monitoring costs</t>
  </si>
  <si>
    <t>Per default = 10%</t>
  </si>
  <si>
    <t>Per default = 2%</t>
  </si>
  <si>
    <t>Estimation of costs for street sweeping</t>
  </si>
  <si>
    <t>Length of streets swept per week [km/week]</t>
  </si>
  <si>
    <t>Length of streets swept per year [km/year]</t>
  </si>
  <si>
    <t>Sweeping capacity per worker per year [km/year]</t>
  </si>
  <si>
    <t>Capacidad de limpieza por empleada/o por año [km/año]</t>
  </si>
  <si>
    <t>Number of workers required</t>
  </si>
  <si>
    <t>Sweeping of public areas</t>
  </si>
  <si>
    <t>Sweeping capacity per worker per year [km2/year]</t>
  </si>
  <si>
    <t>Capacidad de limpieza por empleada/o por año [km2/año]</t>
  </si>
  <si>
    <t>Number of workers per supervisor</t>
  </si>
  <si>
    <t>Number of supervisors required</t>
  </si>
  <si>
    <t>Summary of costs</t>
  </si>
  <si>
    <t>Summary of key data</t>
  </si>
  <si>
    <t>Yearly tons disposed of in final disposal site [ton/year]</t>
  </si>
  <si>
    <t>Yearly tons of organic waste managed in segregated way [ton/year]</t>
  </si>
  <si>
    <t>Yearly tons of recyclables managed in segregated way [ton/year]</t>
  </si>
  <si>
    <t>Fuel consumption [L/year]</t>
  </si>
  <si>
    <t>Cost distribution collection and transport (secondary collection)</t>
  </si>
  <si>
    <t>Collection</t>
  </si>
  <si>
    <t>Insurance of vehicles</t>
  </si>
  <si>
    <t>Maintenance of vehicles</t>
  </si>
  <si>
    <t>Fuel</t>
  </si>
  <si>
    <t>Total collection</t>
  </si>
  <si>
    <t>Transfer station</t>
  </si>
  <si>
    <t>Transfer</t>
  </si>
  <si>
    <t>Total transfer</t>
  </si>
  <si>
    <t>Costs summary</t>
  </si>
  <si>
    <t>Current real case</t>
  </si>
  <si>
    <t>Door to door collection</t>
  </si>
  <si>
    <t>Curbside collection</t>
  </si>
  <si>
    <t>Collection with containers</t>
  </si>
  <si>
    <t>Without transfer station</t>
  </si>
  <si>
    <t>With transfer station</t>
  </si>
  <si>
    <t>Collection of segregated waste in containers</t>
  </si>
  <si>
    <t>Total personnel of transfer and transport</t>
  </si>
  <si>
    <t>Total personnel of the collection service</t>
  </si>
  <si>
    <t>Total personnel of the primary collection service</t>
  </si>
  <si>
    <t>Total personnel of the secondary collection service</t>
  </si>
  <si>
    <t>Number of collection vehicles</t>
  </si>
  <si>
    <t>Number of transfer vehicles</t>
  </si>
  <si>
    <t>Street sweeping coverage [%]</t>
  </si>
  <si>
    <t>Public areas sweeping (parks and others) coverage [%]</t>
  </si>
  <si>
    <t>Collection service coverage [%]</t>
  </si>
  <si>
    <t>Percentage of recovered waste from the total collected [%]</t>
  </si>
  <si>
    <t>Recovered organics [%]</t>
  </si>
  <si>
    <t>Recovered recyclables [%]</t>
  </si>
  <si>
    <t>Waste sanitary disposed of from the total collected [%]</t>
  </si>
  <si>
    <t>Service efficiency indicators</t>
  </si>
  <si>
    <t>Man-hours per ton collected [man*hours/ton]</t>
  </si>
  <si>
    <t>Effective collection hours per day [hours/day]</t>
  </si>
  <si>
    <t>Effective time of collection [%]</t>
  </si>
  <si>
    <t>Time to fill a vehicle at 100% [h]</t>
  </si>
  <si>
    <t>Number of containers</t>
  </si>
  <si>
    <t>Yearly average of hours of usage of collection vehicles per day [hours/day]</t>
  </si>
  <si>
    <t>Ton disposed in final disposal site per year [ton/year]</t>
  </si>
  <si>
    <t>Design indicators of waste management service</t>
  </si>
  <si>
    <t>Inhabitants that receive service per personnel of secondary collection [hab/personnel]</t>
  </si>
  <si>
    <t>Street sweeping efficiency [hab/personnel]</t>
  </si>
  <si>
    <t>Public area sweeping efficiency [hab/personnel]</t>
  </si>
  <si>
    <t>Ton collected per personnel of secondary collection [ton/day*personnel]</t>
  </si>
  <si>
    <t>Personnel efficiency for street sweeping [km/person*day]</t>
  </si>
  <si>
    <t>Personnel efficiency for public areas sweeping [m2/person*day]</t>
  </si>
  <si>
    <t>Helvetas indicators</t>
  </si>
  <si>
    <t>Waste recovery indicators</t>
  </si>
  <si>
    <t>Organics recovered from the total organics collected [%]</t>
  </si>
  <si>
    <t>Recyclables recovered from the total recyclables collected [%]</t>
  </si>
  <si>
    <t>Efficiency calculations do not take into account the personnel of primary collection</t>
  </si>
  <si>
    <t>Takes into account a manual street sweeping for scenarios</t>
  </si>
  <si>
    <t>Weight of solid waste collected per year including waste, recyclables and organics [t/year]</t>
  </si>
  <si>
    <t>Percentage of collected waste from the total generated in the area with coverage [%]</t>
  </si>
  <si>
    <t>Uncollected solid waste: waste generated outside coverage area [%]</t>
  </si>
  <si>
    <t>Uncollected solid waste: waste generated inside coverage area [%]</t>
  </si>
  <si>
    <t>Mismanaged collected waste [%]</t>
  </si>
  <si>
    <t>Residuos sólidos recolectados no gestionados de forma segura [%]</t>
  </si>
  <si>
    <t>Total mismanaged waste [%]</t>
  </si>
  <si>
    <t>Residuos sólidos totales no gestionados [%]</t>
  </si>
  <si>
    <t>Income group</t>
  </si>
  <si>
    <t>Low income country</t>
  </si>
  <si>
    <t>Lower middle income country</t>
  </si>
  <si>
    <t>Upper middle income country</t>
  </si>
  <si>
    <t>High income country</t>
  </si>
  <si>
    <t>na</t>
  </si>
  <si>
    <t>Costos totales del servicio de gestión de los residuos sólidos</t>
  </si>
  <si>
    <t>Costos totales de la recolección y transporte de los residuos sólidos</t>
  </si>
  <si>
    <t>Total costs of solid waste management service</t>
  </si>
  <si>
    <t>Total costs for collection and transport of solid waste</t>
  </si>
  <si>
    <t>Primary collection costs</t>
  </si>
  <si>
    <t>Secondary collection costs</t>
  </si>
  <si>
    <t>Transport costs</t>
  </si>
  <si>
    <t>Transfer station costs</t>
  </si>
  <si>
    <t>Containers costs</t>
  </si>
  <si>
    <t>Real case</t>
  </si>
  <si>
    <t>Typical country costs</t>
  </si>
  <si>
    <t>Grupo de ingresos</t>
  </si>
  <si>
    <t>País de ingreso bajo</t>
  </si>
  <si>
    <t>País de ingreso mediano bajo</t>
  </si>
  <si>
    <t>País de ingreso mediano alto</t>
  </si>
  <si>
    <t>País de ingreso alto</t>
  </si>
  <si>
    <t>Residuos sólidos totales gestionados [%]</t>
  </si>
  <si>
    <t>Fracciones de residuos sólidos gestionadas y no gestionadas de total generado</t>
  </si>
  <si>
    <t>No recolectados: fuera de la zona de cobertura</t>
  </si>
  <si>
    <t>No recolectados: dentro de la zona de cobertura</t>
  </si>
  <si>
    <t>Recolectados: no gestionados de forma segura</t>
  </si>
  <si>
    <t>Recolectados: dispuestos de forma segura</t>
  </si>
  <si>
    <t>Recolectados: aprovechados</t>
  </si>
  <si>
    <t>Fraction of solid waste managed and not managed from the total generated</t>
  </si>
  <si>
    <t>Collected: sanitary disposed of</t>
  </si>
  <si>
    <t>Collected: mismanaged</t>
  </si>
  <si>
    <t>Not collected: inside coverage area</t>
  </si>
  <si>
    <t>Not collected: outside coverage area</t>
  </si>
  <si>
    <t>Cost summary</t>
  </si>
  <si>
    <t>Los valores en cursiva de color gris claro se han calculado sobre la base de un coste por tonelada o de un porcentaje de los costes totales - no se han modelizado y no deben utilizarse como punto de comparación con el caso real - sólo ofrecen una visión general de un coste total estimado</t>
  </si>
  <si>
    <t>Values in light grey italics are calculated on the basis of a cost per tonne or a percentage of total costs - they are not modelled and should not be used as a point of comparison with the real case - they only give an overview of an estimated total cost</t>
  </si>
  <si>
    <t xml:space="preserve">Costs per ton </t>
  </si>
  <si>
    <t>Costos por tonelada</t>
  </si>
  <si>
    <t>Resultados de la modelización</t>
  </si>
  <si>
    <t>Model results</t>
  </si>
  <si>
    <t>Per default = 10</t>
  </si>
  <si>
    <t>Por defecto = 10</t>
  </si>
  <si>
    <t>Per default = 5</t>
  </si>
  <si>
    <t>Total working days per year [days/year]</t>
  </si>
  <si>
    <t>Mismanaged solid waste based on the total generated in the considered area</t>
  </si>
  <si>
    <t>Total managed waste [%]</t>
  </si>
  <si>
    <t>The costs of the mechanical workshop are proportionally distributed according to the numbers of vehicles per service</t>
  </si>
  <si>
    <t>Welcome to the cost determination and modelling tool for Municipal Solid Waste Management</t>
  </si>
  <si>
    <t>Fig. 1: Fractions of managed and unmanaged waste from the total waste generated in the whole study area.</t>
  </si>
  <si>
    <t>Fig. 1: Fracciones de residuos sólidos gestionadas y no gestionadas en base al total generado en la totalidad de la zona considerada.</t>
  </si>
  <si>
    <t>Fig. 3: Distribution of costs for service provision</t>
  </si>
  <si>
    <t>Fig. 2: Distribución de los costos de gestión de residuos sólidos</t>
  </si>
  <si>
    <t>Fig. 2: Distribution of costs of solid waste management</t>
  </si>
  <si>
    <t>Fig. 3: Distribución de los costos de prestación del servicio</t>
  </si>
  <si>
    <t>Fig. 4: Yearly costs, budget and income</t>
  </si>
  <si>
    <t>Fig. 5: Comparison of current costs to typical waste management costs for different country income levels</t>
  </si>
  <si>
    <t>Fig. 5: Comparación de los costos actuales con los costos típicos de gestión de residuos para diferentes niveles de renta de los países</t>
  </si>
  <si>
    <t>Fig. 6: Yearly costs of collection and transport of solid waste for the current real case and for modelled scenarios</t>
  </si>
  <si>
    <t>Fig. 7: Yearly costs of waste management estimated in the modelled scenarios</t>
  </si>
  <si>
    <t>Fig. 7: Costos anuales de gestión de los residuos sólidos estimados en los escenarios de modelización</t>
  </si>
  <si>
    <t>Fig. 8: Yearly costs of street sweeping for the current real case and for modelled scenarios</t>
  </si>
  <si>
    <t>K) Barrido/Limpieza urbana</t>
  </si>
  <si>
    <t>Estimación de costos de barrido/limpieza urbana</t>
  </si>
  <si>
    <t>Cantidad de supervisoras/es (para barrido/limpieza urbana)</t>
  </si>
  <si>
    <t>Servicio de barrido/limpieza urbana</t>
  </si>
  <si>
    <t>Table 2: Waste management efficiency indicators</t>
  </si>
  <si>
    <t>The fourth part presents the results. This includes the results for the costs and selected performance indicators.</t>
  </si>
  <si>
    <t>The sixth part shows all the performance indicators that are calculated and additional data.</t>
  </si>
  <si>
    <t>The fifth part shows all the calculations of the models</t>
  </si>
  <si>
    <t>1) Costos
2) Ingresos</t>
  </si>
  <si>
    <t>3) Parametros_modelo</t>
  </si>
  <si>
    <t xml:space="preserve">4) Resultados
</t>
  </si>
  <si>
    <t>5) Calculos</t>
  </si>
  <si>
    <t>Currency</t>
  </si>
  <si>
    <t>Moneda</t>
  </si>
  <si>
    <t>Por defecto = 1'700 USD</t>
  </si>
  <si>
    <t>Per default = 1'700 USD</t>
  </si>
  <si>
    <t>Per default = 0.3 USD</t>
  </si>
  <si>
    <t>Por defecto = 0.3 USD</t>
  </si>
  <si>
    <t>Per default = 0.15 USD</t>
  </si>
  <si>
    <t>Por defecto = 0.15 USD</t>
  </si>
  <si>
    <t>By default = 0.6 USD, includes fuel, maintenance and insurances</t>
  </si>
  <si>
    <t>Por defecto = 0.6 USD, incluye combustible, mantenimiento y seguros</t>
  </si>
  <si>
    <t>Por defecto = 36'000 USD, para 1 vehículo</t>
  </si>
  <si>
    <t>Por defecto = 128'000 USD, camión compactador</t>
  </si>
  <si>
    <t>Por defecto = 36'000 USD</t>
  </si>
  <si>
    <t>Por defecto = 100'000 USD</t>
  </si>
  <si>
    <t>By default = 100'000 USD</t>
  </si>
  <si>
    <t>By default = 36'000 USD</t>
  </si>
  <si>
    <t>By default = 128'000 USD, compactor</t>
  </si>
  <si>
    <t>By default = 36'000 USD, for 1 vehicle</t>
  </si>
  <si>
    <t>By default = 400 USD</t>
  </si>
  <si>
    <t>Por defecto = 400 USD</t>
  </si>
  <si>
    <t>Has to include operation and maintenance costs. No capital costs
Per default = 1 USD</t>
  </si>
  <si>
    <t>Per default = 0.6 USD</t>
  </si>
  <si>
    <t>Por defecto = 0.6 USD</t>
  </si>
  <si>
    <t>Per default = 2 USD</t>
  </si>
  <si>
    <t>Per default = 20 USD</t>
  </si>
  <si>
    <t>Per default = 14 USD</t>
  </si>
  <si>
    <t>Por defecto = 20 USD</t>
  </si>
  <si>
    <t>Por defecto = 2 USD</t>
  </si>
  <si>
    <t>Por defecto = 14 USD</t>
  </si>
  <si>
    <t>Minimum value</t>
  </si>
  <si>
    <t>Maximum value</t>
  </si>
  <si>
    <t>Table 1: Base data</t>
  </si>
  <si>
    <t>Tabla 1: Datos base</t>
  </si>
  <si>
    <t>Base data input</t>
  </si>
  <si>
    <t>Ingreso de datos base</t>
  </si>
  <si>
    <t>$$$</t>
  </si>
  <si>
    <t>Total inhabitants [hab]</t>
  </si>
  <si>
    <t>Number of trips required per week [trips/week]</t>
  </si>
  <si>
    <t>% of non-household waste generated in regard total generation [%]</t>
  </si>
  <si>
    <t>% de residuos sólidos no domiciliares generados en relación a la generación total [%]</t>
  </si>
  <si>
    <t>For example: if the total generation is 1'000 kg/day and the non-household generation is 300 kg/day, here you enter 30%. By default: 30% as in the Waste Flow Diagram tool.</t>
  </si>
  <si>
    <t>If known, you can enter information for formal and informal sector below. Informal sector value will be taken into account into the graphical results but will not be considered for efficiency or costs calculations.</t>
  </si>
  <si>
    <t>Formal sector</t>
  </si>
  <si>
    <t>Sector formal</t>
  </si>
  <si>
    <t>Informal sector</t>
  </si>
  <si>
    <t>Sector informal</t>
  </si>
  <si>
    <t>Inhabitants who receive solid waste management service [hab]</t>
  </si>
  <si>
    <t>Informal sector contribution</t>
  </si>
  <si>
    <t>Contribución del sector informal</t>
  </si>
  <si>
    <t>Disposición final adecuada [%]</t>
  </si>
  <si>
    <t>The following contributions apply to the total waste generated in the area (area with and without formal coverage)</t>
  </si>
  <si>
    <t>Table 4: Summary of costs, budget and income</t>
  </si>
  <si>
    <t>Table 5: Summary of yearly costs of solid waste for the current real case and for modelled scenarios</t>
  </si>
  <si>
    <t>Table 6: Efficiency indicators of solid waste for the current real case and for modelled scenarios</t>
  </si>
  <si>
    <t>Tabla 4: Resumen de costos, presupuesto e ingresos</t>
  </si>
  <si>
    <t>Table 3: Informal sector contribution</t>
  </si>
  <si>
    <t>Tabla 3: Contribución del sector informal</t>
  </si>
  <si>
    <t>Organics managed [%]</t>
  </si>
  <si>
    <t>Recyclables managed [%]</t>
  </si>
  <si>
    <t>Solid waste collected [%]</t>
  </si>
  <si>
    <t>Residuos sólidos recolectados [%]</t>
  </si>
  <si>
    <t>0) Intro</t>
  </si>
  <si>
    <t>Base data input regarding the study site</t>
  </si>
  <si>
    <t>Datos base del sitio de estudio</t>
  </si>
  <si>
    <t>Tips to users:
Fill the information for all white cells - if not known, some results will not show</t>
  </si>
  <si>
    <t>&lt;</t>
  </si>
  <si>
    <t>Por ejemplo: si la generación total es 1.000 kg /día y la generación no domiciliar es 300 kg/día, aquí se indica 30%. Por defecto = 30% como en la herramienta "Waste Flow Diagram".</t>
  </si>
  <si>
    <t>Note: if you change language after the model is filled in, check the selection lists as the language there does not change automatically and this can affect calculations</t>
  </si>
  <si>
    <t>Note: enter your currency abbreviation and the conversion rate equivalent to 1 USD</t>
  </si>
  <si>
    <t>The first and second part guides the user for the evaluation of costs and income of the solid waste management service including:
- Streets and public areas sweeping
- Collection of solid waste
- Treatment/Valorisation of solid waste (composting, recycling)
- Final disposal of waste
- Education and communication
- Administrative costs
Here are included operation and maintenance costs (OPEX) and investments (CAPEX)</t>
  </si>
  <si>
    <t>Tips to users:
Enter required information into cells with white background.
There are 4 main parts: 1) Service provision, 2) Administration, 3) Planning and control, 4) Education and communication.
If required, modify the lines titles. Current information is fictive and should be modified. These sample lines are not exhaustive, users should add anything that is missing.</t>
  </si>
  <si>
    <t>For education and communication costs, you can chose to enter the detailed costs or calculate it with a percentage of total costs</t>
  </si>
  <si>
    <t>Calculate with a percentage of total costs?
If yes, the detailed costs from the following table will not be taken into account.</t>
  </si>
  <si>
    <t>Recyclables management</t>
  </si>
  <si>
    <t>Weight of recyclable waste recovered and treated or entering recycling pathways per year [t/year]</t>
  </si>
  <si>
    <t>Total cumulated length of paved road swiped per year [km/year]</t>
  </si>
  <si>
    <t>Total area of public spaces receiving sweeping/urban cleaning service [m2]</t>
  </si>
  <si>
    <t>Collected: valorised</t>
  </si>
  <si>
    <t>Tips to users:
In this sheet, you have to input all the required data in the white cells. Additionally, you must check that all pre-set parameters fit your case study.</t>
  </si>
  <si>
    <t>Indicative values:
Level 1: 15 km/km2
Level 2: 4 km/km2
Level 3: 1 km/km2
Level 4: 0.2 km/km2
You can calculate the road density with the total length of roads divided by the total considered area</t>
  </si>
  <si>
    <t>Total considered area in hectares [hectares]</t>
  </si>
  <si>
    <t>1 hectare = 0.01 km2</t>
  </si>
  <si>
    <t>Density of mixed recyclables (paper, cardboard, metals, plastics, glass) [kg/m3]</t>
  </si>
  <si>
    <t>Total population of the area where primary collection occurs</t>
  </si>
  <si>
    <t>Corresponds to the area where the total population considered lives</t>
  </si>
  <si>
    <t>Average distance between parking and beginning of collection routes [km]</t>
  </si>
  <si>
    <t>Is it possible to organize 2 shifts of 8 hours for the same truck with different collection teams in one day?</t>
  </si>
  <si>
    <t>Collection frequency for recyclables containers per week [#/week]</t>
  </si>
  <si>
    <t>Filling rate of recyclable waste containers [%]</t>
  </si>
  <si>
    <t>Efficiency in segregation of organics at source [%]</t>
  </si>
  <si>
    <t>Efficiency in segregation of recyclable  at source [%]</t>
  </si>
  <si>
    <t>Sweeping performance [hectares/person*day]</t>
  </si>
  <si>
    <t>Materials as trash bags, equipment as handcarts, shovels and others. Costs of use of vehicles also included here.
Per default = 0.3 USD</t>
  </si>
  <si>
    <t>M) Administration, planning and audit and training, education and communication</t>
  </si>
  <si>
    <t>C.1 Container collection (mixed waste)</t>
  </si>
  <si>
    <t>Equivalent population per kilometre of road [persons/km]</t>
  </si>
  <si>
    <t>Equivalent households per kilometre of road [households/km]</t>
  </si>
  <si>
    <t>Number of stops per kilometre [stops/km]</t>
  </si>
  <si>
    <t>Number of collection vehicles needed [vehicles]
Applies for weekly working time of 1 person</t>
  </si>
  <si>
    <t>Number of collection vehicles needed NOT ROUNDED [vehicles]</t>
  </si>
  <si>
    <t>Average number of families collected per stop [families/stop]</t>
  </si>
  <si>
    <t>Total kilometres travelled per primary collection vehicle per year [km/year*vehicle]</t>
  </si>
  <si>
    <t>Takes into account the coverage and the non-household generation as a fraction of household generation</t>
  </si>
  <si>
    <t>Set a number of families per stop in order for this value to make sense. 50-400 m between stops seems adequate</t>
  </si>
  <si>
    <t>If this value is 0, verify the total time per trip, if it is not much higher than the maximum working hours per day, then it is possible to have flexible working hours (some days less and others more). The model keeps validity.</t>
  </si>
  <si>
    <t>Hours transferring to final disposal or transfer station [hours]</t>
  </si>
  <si>
    <t>Number of collection trucks required NOT ROUNDED</t>
  </si>
  <si>
    <t>Number of collection trucks required considering precautious increase and the option to work 2 shifts per day and on weekends</t>
  </si>
  <si>
    <t>Efficiency of the plant [%]</t>
  </si>
  <si>
    <t>Estimation of training, education and communication costs</t>
  </si>
  <si>
    <t>Relative time of collection versus transport [%]</t>
  </si>
  <si>
    <t>Kilometres per ton collected [km/ton]</t>
  </si>
  <si>
    <t>Collected waste not managed adequately [%]</t>
  </si>
  <si>
    <t>Disposed of adequately [%]</t>
  </si>
  <si>
    <t>Nota: si cambia el idioma después de rellenar el modelo, chequear las listas de selección - el idioma no cambia automáticamente allí y puede afectar los cálculos</t>
  </si>
  <si>
    <t>Nota: ingresar su moneda y la conversión equivalente a 1 USD</t>
  </si>
  <si>
    <t>La primera y segunda parte, guía para la evaluación de costos e ingresos reales del servicio de gestión de los residuos sólidos incluyendo:
- Barrido de vías y áreas públicas
- Recolección de residuos sólidos
- Tratamiento/Aprovechamiento de los residuos sólidos (compostaje, reciclaje)
- Disposición final de los residuos sólidos
- Aspectos blandos del servicio (educación, comunicación)
- Gastos administrativos
Se incluyen costos operativos y de mantenimiento (OPEX) y de inversiones (CAPEX)</t>
  </si>
  <si>
    <r>
      <rPr>
        <b/>
        <sz val="11"/>
        <color theme="1"/>
        <rFont val="Calibri"/>
        <family val="2"/>
        <scheme val="minor"/>
      </rPr>
      <t>La tercera parte es el ingreso de datos para modelizar los costos del servicio de gestión de los residuos sólidos en función a los escenarios establecidos, incluyendo:</t>
    </r>
    <r>
      <rPr>
        <sz val="11"/>
        <color theme="1"/>
        <rFont val="Calibri"/>
        <family val="2"/>
        <scheme val="minor"/>
      </rPr>
      <t xml:space="preserve">
- Recolección puerta a puerta /por acera
- Recolección de parada fija/esquina
- Recolección por contenedores
- Recolección de materiales clasificados en 3 fracciones (desechos, reciclables, orgánicos)
Para cada una de las opciones, se propone una recolección con o sin estación de transferencia
</t>
    </r>
    <r>
      <rPr>
        <b/>
        <sz val="11"/>
        <color theme="1"/>
        <rFont val="Calibri"/>
        <family val="2"/>
        <scheme val="minor"/>
      </rPr>
      <t xml:space="preserve">
Adicionalmente a los puntos anteriores, el modelo estima costos adicionales:</t>
    </r>
    <r>
      <rPr>
        <sz val="11"/>
        <color theme="1"/>
        <rFont val="Calibri"/>
        <family val="2"/>
        <scheme val="minor"/>
      </rPr>
      <t xml:space="preserve">
- Barrido de vías y áreas públicas
- Tratamiento de los residuos sólidos (compostaje, reciclaje)
- Disposición final de los residuos sólidos
- Aspectos blandos del servicio (educación, comunicación)
- Gastos administrativos
Se incluyen costos operativos y de mantenimiento (OPEX) y de inversiones (CAPEX)</t>
    </r>
  </si>
  <si>
    <t>La cuarta parte sirve para visualizar los resultados obtenidos. Incluye resultados de los costos y de indicadores de eficiencia seleccionados.</t>
  </si>
  <si>
    <t>La quinta parte muestra todos los cálculos de la modelización</t>
  </si>
  <si>
    <t>La sexta parte contiene la totalidad de los indicadores de eficiencia calculados e información adicional.</t>
  </si>
  <si>
    <t>Indicaciones de uso:
Ingresar y completar información en las casillas de fondo blanco.
Son 4 cuadros: 1) Prestación de servicio, 2) Administración, 3) Planificación y fiscalización, 4) Educación y comunicación
Si necesario, modificar títulos de líneas. Los valores actualmente ingresados son ficticios y se deben de modificar. Las líneas de muestra no son exhaustivas, ingresar lo faltante.</t>
  </si>
  <si>
    <t>Dedicación a la prestación del servicio de gestión de los residuos sólidos [%]</t>
  </si>
  <si>
    <t>Barrido de vías y áreas públicas</t>
  </si>
  <si>
    <t>Los costos de maestranza se distribuyen de forma proporcional al costo de los vehículos por servicio</t>
  </si>
  <si>
    <t>Vehículos</t>
  </si>
  <si>
    <t>Tasa de interés préstamo [%]</t>
  </si>
  <si>
    <t>Equipo (protección personal, materiales, electrónicos y otros…)</t>
  </si>
  <si>
    <t>Indicaciones de uso:
Se da la posibilidad de ingresar datos de varios años. En caso se usen datos de varios años, tomar nota que el modelo divide los montos totales por la cantidad de años diferentes ingresados para realizar promedios de montos cobrados y facturados.
Por favor utilizar información completa para cada año ingresado.
Si solamente se tiene información para un año entonces utilizar solamente un año.</t>
  </si>
  <si>
    <t>Fotografía del estado actual de la gestión de los residuos sólidos</t>
  </si>
  <si>
    <t>Indicaciones de uso:
Completar información de cada celda en blanco - si no conocidos, algunos resultados no aparecerán</t>
  </si>
  <si>
    <t>Habitantes totales [personas]</t>
  </si>
  <si>
    <t>Biogás</t>
  </si>
  <si>
    <t>Distancia total acumulada recorrida por los vehículos de recolección por año [km/año]</t>
  </si>
  <si>
    <t>Si conocidos, puede ingresar información del sector formal y del sector informal. Los datos del sector informal serán presentados gráficamente pero no serán tomados en consideración para cálculos de eficiencia o costos.</t>
  </si>
  <si>
    <t>Peso de los residuos sólidos recolectados por año incluyendo desechos, reciclable y orgánicos [t/año]</t>
  </si>
  <si>
    <t>Peso de los residuos orgánicos recolectados y tratados por año [t/año]</t>
  </si>
  <si>
    <t>Longitud total de vías pavimentadas con servicio de barrido [km]</t>
  </si>
  <si>
    <t>Longitud total acumulada de vías pavimentadas barridas por año [km/año]</t>
  </si>
  <si>
    <t>Superficie total de áreas públicas [m2]</t>
  </si>
  <si>
    <t>Superficie total de áreas públicas con servicio de barrido/limpieza urbana [m2]</t>
  </si>
  <si>
    <t>Superficie total acumulada de áreas públicas limpiadas por año [m2/año]</t>
  </si>
  <si>
    <t>Total de empleadas/os de servicio de barrido áreas públicas</t>
  </si>
  <si>
    <t>6) Anexos</t>
  </si>
  <si>
    <t>Efficiency</t>
  </si>
  <si>
    <t>¿Calcular con un porcentaje de los costos totales?
En caso de que sí, el detalle del cuadro siguiente no se considerara en los totales.</t>
  </si>
  <si>
    <t>Longitud total de las vías pavimentadas de la zona de cobertura [km]</t>
  </si>
  <si>
    <t>Indicaciones de uso:
En esta sección se deben de ingresar toda la información requerida en las casillas de color blanco. Adicionalmente, se debe verificar que los parámetros predefinidos corresponden a su caso de estudio.</t>
  </si>
  <si>
    <t>Superficie de zona considerada en hectáreas [hectáreas]</t>
  </si>
  <si>
    <t>1 hectárea = 0.01 km2</t>
  </si>
  <si>
    <t>B) Características de los residuos sólidos</t>
  </si>
  <si>
    <t>Incluye todas las categorías no especificadas anteriormente, según norma NB 743</t>
  </si>
  <si>
    <t>Volumen de vehículos de recolección primaria [m3]</t>
  </si>
  <si>
    <t>Cantidad de personal por vehículo de recolección primara</t>
  </si>
  <si>
    <t>Kilometraje máximo de vehículos de recolección primaria [km]</t>
  </si>
  <si>
    <t>La recolección primaria es una recolección de puerta a puerta con vehículos más pequeños que transfieren los residuos sólidos al sistema de recolección segundaria.</t>
  </si>
  <si>
    <t>Tiempo de vida de vehículo utilizado [años]</t>
  </si>
  <si>
    <t>Valores indicativos: de 10 a 40 km/persona*día, depende del vehículo utilizado</t>
  </si>
  <si>
    <t>Debe incluir uso y mantenimiento de vehículos (no el costo capital). Por defecto = 1 USD</t>
  </si>
  <si>
    <t>Distancia semanal vehículos recolección (parqueo-ciudad) [km/semana]</t>
  </si>
  <si>
    <t>Distancia semanal vehículos de recolección de ciudad a estación de transferencia o sitio de disposición final (si no hay transferencia) [km/semana]</t>
  </si>
  <si>
    <t>Kilometraje anual por vehículo de recolección primaria [km/año*vehículo]</t>
  </si>
  <si>
    <t>Depreciación del vehículo utilizado [años]</t>
  </si>
  <si>
    <t>Distancia semanal vehículos de recolección de ciudad a estación de transferencia (o sitio de disposición final si no hay centro de transferencia) [km/semana]</t>
  </si>
  <si>
    <t>Tiempo de depreciación vehículo de recolección [años]</t>
  </si>
  <si>
    <t>Tiempo de depreciación vehículo de transferencia [años]</t>
  </si>
  <si>
    <t>Kilometraje anual por vehículo de recolección [km/año*vehículo]</t>
  </si>
  <si>
    <t>Kilometraje anual por vehículo de transferencia [km/año*vehículo]</t>
  </si>
  <si>
    <t>Distribución de kilometraje de vehículos de recolección</t>
  </si>
  <si>
    <t>Cantidad de empleadas/os necesarios (y de vehículos)</t>
  </si>
  <si>
    <t>Mantenimiento vehículos</t>
  </si>
  <si>
    <t>Seguro de vehículos</t>
  </si>
  <si>
    <t>Población total del área con recolección primaria</t>
  </si>
  <si>
    <t>Superficie total del área con recolección primaria [km2]</t>
  </si>
  <si>
    <t>Corresponde al área donde vive la población total considerada</t>
  </si>
  <si>
    <t>Limpieza de áreas públicas (plazas y otros)</t>
  </si>
  <si>
    <t>Limpieza de áreas públicas (plazas)</t>
  </si>
  <si>
    <t>área pública limpiada por semana [km2/semana]</t>
  </si>
  <si>
    <t>área pública limpiada por año [km2/año]</t>
  </si>
  <si>
    <t>Eficiencia del servicio de barrido de áreas públicas [hab/empleada/o]</t>
  </si>
  <si>
    <t>Eficiencia del personal en barrido de áreas públicas [m2/persona*día]</t>
  </si>
  <si>
    <t>Cobertura del servicio de barrido de áreas públicas [%]</t>
  </si>
  <si>
    <t>Porcentaje de residuos recolectados del total generado en el área con cobertura [%]</t>
  </si>
  <si>
    <t>¿Se realiza recolección primaria en alguna(s) área(s) consideradas?</t>
  </si>
  <si>
    <t>Tipo de recolección primaria</t>
  </si>
  <si>
    <t>Frecuencia de recolección por semana [#/semana]</t>
  </si>
  <si>
    <t>Definir manualmente la velocidad de recolección - obligatorio si el tipo de recolección es mixto</t>
  </si>
  <si>
    <t>Pequeño camión (tracción motorizada)</t>
  </si>
  <si>
    <t>Triciclo motorizado (tracción motorizada)</t>
  </si>
  <si>
    <t>Distancia promedio desde el último punto de recolección hacia sitio de disposición final [km]</t>
  </si>
  <si>
    <t>Distancia promedio desde el último punto de recolección hacia planta de compostaje [km]</t>
  </si>
  <si>
    <t>¿Se trabaja los días sábado?</t>
  </si>
  <si>
    <t>¿Se trabaja los días domingo?</t>
  </si>
  <si>
    <t>¿Se pueden realizar dos turnos de 8 horas para un mismo camión con dos equipos de recolección diferentes en un día?</t>
  </si>
  <si>
    <t>Prueba lógica 1 []</t>
  </si>
  <si>
    <t>Factor aplicado al número de camiones necesario []</t>
  </si>
  <si>
    <t>Si la recolección es posible entre 6 am y 22 pm (16h o más) entonces si se debería poder utilizar un camión para 2 turnos en 1 día</t>
  </si>
  <si>
    <t>Costo para 1 persona en todas estas líneas</t>
  </si>
  <si>
    <t>Frecuencia de recolección semanal [n°recolección/semana]</t>
  </si>
  <si>
    <t>Frecuencia de recolección semanal contenedores [n°recolección/semana]</t>
  </si>
  <si>
    <t>Frecuencia de recolección semanal para desechos [n°recolección/semana]</t>
  </si>
  <si>
    <t>Frecuencia de recolección semanal para reciclables [n°recolección/semana]</t>
  </si>
  <si>
    <t>Frecuencia de recolección semanal para materia orgánica [n°recolección/semana]</t>
  </si>
  <si>
    <t>Kilometraje máximo de vehículo de recolección [km]</t>
  </si>
  <si>
    <t>Kilometraje máximo de vehículos de transferencia [km]</t>
  </si>
  <si>
    <t>Valor máximo</t>
  </si>
  <si>
    <t>J) Características de los contenedores</t>
  </si>
  <si>
    <t>Volumen de los contenedores de orgánicos [m3]</t>
  </si>
  <si>
    <t>Tasa promedio de llenado de contenedores de orgánicos [%]</t>
  </si>
  <si>
    <t>orgánicos [% del total recolectado]</t>
  </si>
  <si>
    <t>orgánicos aprovechados [% del total de orgánicos recolectados]</t>
  </si>
  <si>
    <t>Frecuencia del servicio barrido mecánico por semana [limpiezas/semana]</t>
  </si>
  <si>
    <t>Superficie de áreas públicas con servicio de barrido/limpieza urbana (plazas, parques, …) [m2]</t>
  </si>
  <si>
    <t>Superficie de áreas públicas con servicio de limpieza urbana [km2]</t>
  </si>
  <si>
    <t>Rendimiento limpieza áreas públicas [hectáreas/barrendero*día]</t>
  </si>
  <si>
    <t>Cantidad de basureros públicos []</t>
  </si>
  <si>
    <t>Costos de personal y materiales</t>
  </si>
  <si>
    <t>Materiales como bolsas, equipos como carretillas, pallas etc. Costos de uso de vehículos se incluyen también aquí.
Por defecto = 0.3 USD</t>
  </si>
  <si>
    <t>M) Administración, planificación y monitoreo y formación, educación y comunicación</t>
  </si>
  <si>
    <t>¿Se usa estación de transferencia?</t>
  </si>
  <si>
    <t>¿Se separa esta fracción especifica?</t>
  </si>
  <si>
    <t>Viviendas equivalentes por km de carretera [vivienda/km]</t>
  </si>
  <si>
    <t>Tiempo necesario por viaje para recorrido en zona urbana [minutos]</t>
  </si>
  <si>
    <t>Viajes por semana laboral posible por camión [viajes/semana]</t>
  </si>
  <si>
    <t>Cantidad de camiones de recolección necesarios considerando incremento de precaución y la posibilidad de dos turnos y de laborar los sábados o domingos [camiones]</t>
  </si>
  <si>
    <t>Tasa de interés para cálculo de préstamo [%]</t>
  </si>
  <si>
    <t>Por defecto = 1 para contenedores
Por defecto = 1 para paradas de esquinas
Por defecto = 0.1 para casa por casa</t>
  </si>
  <si>
    <t>Generación domiciliar diaria que recolectar [kg/día]</t>
  </si>
  <si>
    <t>Cantidad de RS domiciliares que gestionar en días laborales [kg/día]</t>
  </si>
  <si>
    <t>Cantidad total que recolectar por día [kg/día]</t>
  </si>
  <si>
    <t>Cantidad total que gestionar por día laboral [kg/día]</t>
  </si>
  <si>
    <t>Cantidad de RS no domiciliares que gestionar en días laborales [kg/día]</t>
  </si>
  <si>
    <t>Generación no domiciliar diaria que recolectar [kg/día]</t>
  </si>
  <si>
    <t>Distancia máxima entre dos puntos de contenedores [km]</t>
  </si>
  <si>
    <t>Define una distancia teórica máxima entre contenedores, se considera aquí que 200m máximo un usuario estará del contenedor más lejano: 400m entre paradas</t>
  </si>
  <si>
    <t>Viajes por semana laboral posible por persona [viajes/semana]</t>
  </si>
  <si>
    <t>Si este valor es cero, se puede revisar el tiempo total para un viaje, si no es mucho mayor al tiempo máximo por día entonces es realista realizar horarios flexibles (unos días más y otros menos). El modelo sigue valido.</t>
  </si>
  <si>
    <t>Tiempo de recolección efectivo por viaje [minutos]</t>
  </si>
  <si>
    <t>The third part is the data input for the model for costs of solid waste management based on established scenarios, including:
- Door to door collection
- Curbside collection
- Collection with containers
- Collection of segregated waste in containers (waste, recyclables, organics)
For each option, a waste transfer station can be selected or not.
Additionally, the model estimates de following costs:
- Streets and public areas sweeping
- Treatment/Valorisation of solid waste (composting, recycling)
- Final disposal of waste
- Education and communication
- Administrative costs
Here are included operation and maintenance costs (OPEX) and investments (CAPEX)</t>
  </si>
  <si>
    <t>area of public spaced with sweeping service [m2]</t>
  </si>
  <si>
    <t>area of public spaced with sweeping service [km2]</t>
  </si>
  <si>
    <t>area of public areas swept per week [km2/week]</t>
  </si>
  <si>
    <t>area of public areas swept per year [km2/year]</t>
  </si>
  <si>
    <t>Control de % de uso de camiones - verificación si redondeado no afecta [%]</t>
  </si>
  <si>
    <t>Muy relevante para casos con pocos camiones, calcula el % de uso real de los camiones. Se puede utilizar este dato cuando se separa una ciudad por bloques - los camiones no serán usados al 100% para cada bloque, se puede compartir</t>
  </si>
  <si>
    <t>Volumen total que trasladar semanalmente [m3/semana]</t>
  </si>
  <si>
    <t>Tasa de disponibilidad de tiempo de equipo de transferencia [%]</t>
  </si>
  <si>
    <t>Cantidad total de ayudantes de camión de transferencia</t>
  </si>
  <si>
    <t>Por defecto = 2, 4 para servicio sin contenedores</t>
  </si>
  <si>
    <t>Kilometraje de vehículos de recolección total por año [km/año]</t>
  </si>
  <si>
    <t>Kilometraje de vehículos de transferencia total por año [km/año]</t>
  </si>
  <si>
    <t>Eficiencia del servicio de barrido de vías [hab/empleada/o]</t>
  </si>
  <si>
    <t>Limpieza manual de vías</t>
  </si>
  <si>
    <t>Limpieza mecanizada de vías</t>
  </si>
  <si>
    <t>Kilómetros recorridos por tonelada recolectada [km/ton]</t>
  </si>
  <si>
    <t>Indicadores guía de diseño de servicios de aseo urbano</t>
  </si>
  <si>
    <t>Habitantes servidos por empleados de recolección segundaria [hab/empleada/o]</t>
  </si>
  <si>
    <t>Los cálculos de eficiencia no toman en cuenta el personal necesario para la recolección primaria</t>
  </si>
  <si>
    <t>Residuos sólidos no gestionados en base al total generado en la zona considerada</t>
  </si>
  <si>
    <t>Residuos sólidos no recolectados: RS generados fuera de la zona de cobertura [%]</t>
  </si>
  <si>
    <t>Residuos sólidos no recolectados: RS generados dentro de la zona de cobertura [%]</t>
  </si>
  <si>
    <t>Las contribuciones siguientes aplican a los RS totales generados en la zona (zona con y sin cobertura formal)</t>
  </si>
  <si>
    <t>Orgánicos gestionados [%]</t>
  </si>
  <si>
    <t>Reciclables gestionados [%]</t>
  </si>
  <si>
    <t>Costos típicos del país</t>
  </si>
  <si>
    <t>Valor mínimo</t>
  </si>
  <si>
    <t>Fig. 4: Costos, presupuesto e ingresos anuales</t>
  </si>
  <si>
    <t>Fig. 6: Costos anuales de la recolección y transporte de los residuos sólidos para el caso real y los escenarios de modelización</t>
  </si>
  <si>
    <t>Fig. 8: Costos anuales de barrido/limpieza urbana para el caso real y los escenarios de modelización</t>
  </si>
  <si>
    <t>Tabla 5: Resumen de costos anuales de la gestión de los residuos sólidos para el caso real y los escenarios de modelización</t>
  </si>
  <si>
    <t>Tabla 2: Indicadores de eficiencia de la gestión de los residuos sólidos</t>
  </si>
  <si>
    <t>Tabla 6: Indicadores de eficiencia de la gestión de los residuos sólidos para el caso real y los escenarios de modelización</t>
  </si>
  <si>
    <t>Version 1</t>
  </si>
  <si>
    <t>costmodel2023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</si>
</sst>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 #,##0.00_ ;_ * \-#,##0.00_ ;_ * &quot;-&quot;??_ ;_ @_ "/>
    <numFmt numFmtId="164" formatCode="_-* #,##0_-;\-* #,##0_-;_-* &quot;-&quot;_-;_-@_-"/>
    <numFmt numFmtId="165" formatCode="_-* #,##0.00_-;\-* #,##0.00_-;_-* &quot;-&quot;??_-;_-@_-"/>
    <numFmt numFmtId="166" formatCode="_-&quot;$&quot;* #,##0.00_-;\-&quot;$&quot;* #,##0.00_-;_-&quot;$&quot;* &quot;-&quot;??_-;_-@_-"/>
    <numFmt numFmtId="167" formatCode="0.000"/>
    <numFmt numFmtId="168" formatCode="0.0"/>
    <numFmt numFmtId="169" formatCode="0.0%"/>
    <numFmt numFmtId="170" formatCode="0.000%"/>
    <numFmt numFmtId="171" formatCode="_-* #,##0.0_-;\-* #,##0.0_-;_-* &quot;-&quot;?_-;_-@_-"/>
    <numFmt numFmtId="172" formatCode="_-* #,##0_-;\-* #,##0_-;_-* &quot;-&quot;??_-;_-@_-"/>
    <numFmt numFmtId="173" formatCode="_ * #,##0_ ;_ * \-#,##0_ ;_ * &quot;-&quot;??_ ;_ @_ "/>
    <numFmt numFmtId="174" formatCode="0.0000"/>
    <numFmt numFmtId="175" formatCode="_-* #,##0.00\ _€_-;\-* #,##0.00\ _€_-;_-* &quot;-&quot;??\ _€_-;_-@_-"/>
    <numFmt numFmtId="176" formatCode="_-* #,##0.00_-;\-* #,##0.00_-;_-* &quot;-&quot;_-;_-@_-"/>
    <numFmt numFmtId="177" formatCode="_-* #,##0.000_-;\-* #,##0.000_-;_-* &quot;-&quot;_-;_-@_-"/>
    <numFmt numFmtId="178" formatCode="#,##0\ &quot;$/ton&quot;"/>
  </numFmts>
  <fonts count="59" x14ac:knownFonts="1">
    <font>
      <sz val="11"/>
      <color theme="1"/>
      <name val="Calibri"/>
      <family val="2"/>
      <scheme val="minor"/>
    </font>
    <font>
      <sz val="11"/>
      <color theme="1"/>
      <name val="Calibri"/>
      <family val="2"/>
      <scheme val="minor"/>
    </font>
    <font>
      <sz val="14"/>
      <color theme="1"/>
      <name val="Calibri"/>
      <family val="2"/>
      <scheme val="minor"/>
    </font>
    <font>
      <b/>
      <sz val="18"/>
      <color theme="1"/>
      <name val="Calibri"/>
      <family val="2"/>
      <scheme val="minor"/>
    </font>
    <font>
      <sz val="14"/>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b/>
      <sz val="24"/>
      <color theme="1"/>
      <name val="Calibri"/>
      <family val="2"/>
      <scheme val="minor"/>
    </font>
    <font>
      <sz val="11"/>
      <name val="Calibri"/>
      <family val="2"/>
      <scheme val="minor"/>
    </font>
    <font>
      <b/>
      <sz val="14"/>
      <color theme="1"/>
      <name val="Calibri"/>
      <family val="2"/>
      <scheme val="minor"/>
    </font>
    <font>
      <b/>
      <sz val="11"/>
      <name val="Calibri"/>
      <family val="2"/>
      <scheme val="minor"/>
    </font>
    <font>
      <b/>
      <sz val="22"/>
      <color theme="1"/>
      <name val="Calibri"/>
      <family val="2"/>
      <scheme val="minor"/>
    </font>
    <font>
      <b/>
      <sz val="12"/>
      <name val="Calibri"/>
      <family val="2"/>
      <scheme val="minor"/>
    </font>
    <font>
      <sz val="12"/>
      <name val="Calibri"/>
      <family val="2"/>
      <scheme val="minor"/>
    </font>
    <font>
      <sz val="12"/>
      <color theme="1"/>
      <name val="Calibri"/>
      <family val="2"/>
      <scheme val="minor"/>
    </font>
    <font>
      <b/>
      <sz val="16"/>
      <color theme="0"/>
      <name val="Calibri"/>
      <family val="2"/>
      <scheme val="minor"/>
    </font>
    <font>
      <b/>
      <sz val="48"/>
      <color theme="0"/>
      <name val="Calibri"/>
      <family val="2"/>
      <scheme val="minor"/>
    </font>
    <font>
      <sz val="7"/>
      <color theme="1"/>
      <name val="Times New Roman"/>
      <family val="1"/>
    </font>
    <font>
      <sz val="11"/>
      <color theme="1"/>
      <name val="Courier New"/>
      <family val="3"/>
    </font>
    <font>
      <i/>
      <sz val="11"/>
      <color theme="1"/>
      <name val="Calibri"/>
      <family val="2"/>
      <scheme val="minor"/>
    </font>
    <font>
      <sz val="11"/>
      <color theme="4" tint="-0.249977111117893"/>
      <name val="Calibri"/>
      <family val="2"/>
      <scheme val="minor"/>
    </font>
    <font>
      <sz val="11"/>
      <color theme="9" tint="-0.249977111117893"/>
      <name val="Calibri"/>
      <family val="2"/>
      <scheme val="minor"/>
    </font>
    <font>
      <sz val="11"/>
      <color theme="5" tint="-0.249977111117893"/>
      <name val="Calibri"/>
      <family val="2"/>
      <scheme val="minor"/>
    </font>
    <font>
      <sz val="11"/>
      <color theme="7" tint="-0.249977111117893"/>
      <name val="Calibri"/>
      <family val="2"/>
      <scheme val="minor"/>
    </font>
    <font>
      <b/>
      <sz val="16"/>
      <name val="Calibri"/>
      <family val="2"/>
      <scheme val="minor"/>
    </font>
    <font>
      <b/>
      <sz val="36"/>
      <color theme="1"/>
      <name val="Calibri"/>
      <family val="2"/>
      <scheme val="minor"/>
    </font>
    <font>
      <sz val="10"/>
      <name val="Arial"/>
      <family val="2"/>
    </font>
    <font>
      <sz val="11"/>
      <name val="Calibri"/>
      <scheme val="minor"/>
    </font>
    <font>
      <sz val="11"/>
      <color theme="1"/>
      <name val="Calibri"/>
      <scheme val="minor"/>
    </font>
    <font>
      <b/>
      <sz val="26"/>
      <color theme="1"/>
      <name val="Calibri"/>
      <family val="2"/>
      <scheme val="minor"/>
    </font>
    <font>
      <b/>
      <sz val="12"/>
      <color theme="9" tint="-0.249977111117893"/>
      <name val="Calibri"/>
      <family val="2"/>
      <scheme val="minor"/>
    </font>
    <font>
      <b/>
      <sz val="11"/>
      <color theme="9" tint="-0.249977111117893"/>
      <name val="Calibri"/>
      <family val="2"/>
      <scheme val="minor"/>
    </font>
    <font>
      <b/>
      <sz val="11"/>
      <color theme="7" tint="-0.249977111117893"/>
      <name val="Calibri"/>
      <family val="2"/>
      <scheme val="minor"/>
    </font>
    <font>
      <b/>
      <sz val="11"/>
      <color theme="4" tint="-0.249977111117893"/>
      <name val="Calibri"/>
      <family val="2"/>
      <scheme val="minor"/>
    </font>
    <font>
      <b/>
      <sz val="11"/>
      <color theme="5" tint="-0.249977111117893"/>
      <name val="Calibri"/>
      <family val="2"/>
      <scheme val="minor"/>
    </font>
    <font>
      <b/>
      <sz val="48"/>
      <color theme="1"/>
      <name val="Calibri"/>
      <family val="2"/>
      <scheme val="minor"/>
    </font>
    <font>
      <b/>
      <sz val="11"/>
      <color theme="1"/>
      <name val="Calibri"/>
      <scheme val="minor"/>
    </font>
    <font>
      <b/>
      <sz val="28"/>
      <color theme="1"/>
      <name val="Calibri"/>
      <family val="2"/>
      <scheme val="minor"/>
    </font>
    <font>
      <b/>
      <i/>
      <sz val="16"/>
      <color theme="1"/>
      <name val="Calibri"/>
      <family val="2"/>
      <scheme val="minor"/>
    </font>
    <font>
      <b/>
      <sz val="11"/>
      <color rgb="FFFF0000"/>
      <name val="Calibri"/>
      <family val="2"/>
      <scheme val="minor"/>
    </font>
    <font>
      <i/>
      <sz val="10"/>
      <color theme="8" tint="-0.249977111117893"/>
      <name val="Calibri"/>
      <family val="2"/>
      <scheme val="minor"/>
    </font>
    <font>
      <sz val="11"/>
      <color theme="1"/>
      <name val="Calibri"/>
      <family val="1"/>
      <scheme val="minor"/>
    </font>
    <font>
      <sz val="16"/>
      <color theme="1"/>
      <name val="Calibri"/>
      <family val="2"/>
      <scheme val="minor"/>
    </font>
    <font>
      <b/>
      <i/>
      <sz val="11"/>
      <color theme="1"/>
      <name val="Calibri"/>
      <family val="2"/>
      <scheme val="minor"/>
    </font>
    <font>
      <b/>
      <sz val="14"/>
      <name val="Calibri"/>
      <family val="2"/>
      <scheme val="minor"/>
    </font>
    <font>
      <i/>
      <sz val="11"/>
      <color theme="2" tint="-0.499984740745262"/>
      <name val="Calibri"/>
      <family val="2"/>
      <scheme val="minor"/>
    </font>
    <font>
      <b/>
      <i/>
      <sz val="11"/>
      <color theme="2" tint="-0.499984740745262"/>
      <name val="Calibri"/>
      <family val="2"/>
      <scheme val="minor"/>
    </font>
    <font>
      <b/>
      <sz val="11"/>
      <color theme="1" tint="0.499984740745262"/>
      <name val="Calibri"/>
      <family val="2"/>
      <scheme val="minor"/>
    </font>
    <font>
      <b/>
      <sz val="11"/>
      <color theme="2" tint="-0.499984740745262"/>
      <name val="Calibri"/>
      <family val="2"/>
      <scheme val="minor"/>
    </font>
    <font>
      <u/>
      <sz val="11"/>
      <color theme="1"/>
      <name val="Calibri"/>
      <family val="2"/>
      <scheme val="minor"/>
    </font>
    <font>
      <sz val="22"/>
      <color theme="1"/>
      <name val="Calibri"/>
      <family val="2"/>
      <scheme val="minor"/>
    </font>
    <font>
      <b/>
      <i/>
      <sz val="20"/>
      <color theme="1"/>
      <name val="Calibri"/>
      <family val="2"/>
      <scheme val="minor"/>
    </font>
    <font>
      <b/>
      <i/>
      <sz val="14"/>
      <color theme="1"/>
      <name val="Calibri"/>
      <family val="2"/>
      <scheme val="minor"/>
    </font>
    <font>
      <sz val="8"/>
      <color theme="1"/>
      <name val="Calibri"/>
      <family val="2"/>
      <scheme val="minor"/>
    </font>
    <font>
      <i/>
      <sz val="14"/>
      <color theme="1"/>
      <name val="Calibri"/>
      <family val="2"/>
      <scheme val="minor"/>
    </font>
    <font>
      <i/>
      <sz val="12"/>
      <color theme="1"/>
      <name val="Calibri"/>
      <family val="2"/>
      <scheme val="minor"/>
    </font>
    <font>
      <sz val="11"/>
      <color rgb="FF212121"/>
      <name val="Symbol"/>
      <family val="1"/>
      <charset val="2"/>
    </font>
    <font>
      <b/>
      <i/>
      <sz val="14"/>
      <color theme="8" tint="-0.249977111117893"/>
      <name val="Calibri"/>
      <family val="2"/>
      <scheme val="minor"/>
    </font>
  </fonts>
  <fills count="28">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7" tint="-0.249977111117893"/>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2" tint="-0.89999084444715716"/>
        <bgColor indexed="64"/>
      </patternFill>
    </fill>
    <fill>
      <patternFill patternType="solid">
        <fgColor theme="1"/>
        <bgColor indexed="64"/>
      </patternFill>
    </fill>
    <fill>
      <patternFill patternType="solid">
        <fgColor theme="0" tint="-0.14999847407452621"/>
        <bgColor indexed="64"/>
      </patternFill>
    </fill>
    <fill>
      <patternFill patternType="solid">
        <fgColor rgb="FFFF0000"/>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3" tint="-0.499984740745262"/>
        <bgColor indexed="64"/>
      </patternFill>
    </fill>
    <fill>
      <patternFill patternType="solid">
        <fgColor theme="5" tint="0.59999389629810485"/>
        <bgColor indexed="64"/>
      </patternFill>
    </fill>
    <fill>
      <patternFill patternType="solid">
        <fgColor rgb="FF92D050"/>
        <bgColor indexed="64"/>
      </patternFill>
    </fill>
    <fill>
      <patternFill patternType="solid">
        <fgColor rgb="FFFF7575"/>
        <bgColor indexed="64"/>
      </patternFill>
    </fill>
    <fill>
      <patternFill patternType="solid">
        <fgColor theme="2"/>
        <bgColor indexed="64"/>
      </patternFill>
    </fill>
    <fill>
      <patternFill patternType="solid">
        <fgColor theme="0" tint="-4.9989318521683403E-2"/>
        <bgColor indexed="64"/>
      </patternFill>
    </fill>
    <fill>
      <patternFill patternType="solid">
        <fgColor theme="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166" fontId="1" fillId="0" borderId="0" applyFont="0" applyFill="0" applyBorder="0" applyAlignment="0" applyProtection="0"/>
    <xf numFmtId="175" fontId="27" fillId="0" borderId="0" applyFont="0" applyFill="0" applyBorder="0" applyAlignment="0" applyProtection="0"/>
  </cellStyleXfs>
  <cellXfs count="1132">
    <xf numFmtId="0" fontId="0" fillId="0" borderId="0" xfId="0"/>
    <xf numFmtId="0" fontId="0" fillId="0" borderId="0" xfId="0" applyAlignment="1">
      <alignment wrapText="1"/>
    </xf>
    <xf numFmtId="0" fontId="0" fillId="6" borderId="7" xfId="0" applyFill="1" applyBorder="1"/>
    <xf numFmtId="0" fontId="7" fillId="0" borderId="18" xfId="0" applyFont="1" applyBorder="1" applyAlignment="1" applyProtection="1">
      <alignment horizontal="center" vertical="center"/>
      <protection locked="0"/>
    </xf>
    <xf numFmtId="0" fontId="0" fillId="3" borderId="1" xfId="0" applyFill="1" applyBorder="1" applyProtection="1">
      <protection locked="0"/>
    </xf>
    <xf numFmtId="9" fontId="0" fillId="3" borderId="1" xfId="0" applyNumberFormat="1" applyFill="1" applyBorder="1" applyProtection="1">
      <protection locked="0"/>
    </xf>
    <xf numFmtId="0" fontId="0" fillId="3" borderId="14" xfId="0" applyFill="1" applyBorder="1" applyProtection="1">
      <protection locked="0"/>
    </xf>
    <xf numFmtId="9" fontId="0" fillId="3" borderId="14" xfId="0" applyNumberFormat="1" applyFill="1" applyBorder="1" applyProtection="1">
      <protection locked="0"/>
    </xf>
    <xf numFmtId="0" fontId="0" fillId="3" borderId="1" xfId="0" applyFill="1" applyBorder="1" applyAlignment="1" applyProtection="1">
      <alignment vertical="center"/>
      <protection locked="0"/>
    </xf>
    <xf numFmtId="9" fontId="0" fillId="3" borderId="1" xfId="0" applyNumberFormat="1" applyFill="1" applyBorder="1" applyAlignment="1" applyProtection="1">
      <alignment vertical="center"/>
      <protection locked="0"/>
    </xf>
    <xf numFmtId="0" fontId="0" fillId="6" borderId="0" xfId="0" applyFill="1"/>
    <xf numFmtId="9" fontId="0" fillId="3" borderId="1" xfId="1" applyFont="1" applyFill="1" applyBorder="1" applyAlignment="1" applyProtection="1">
      <alignment vertical="center"/>
      <protection locked="0"/>
    </xf>
    <xf numFmtId="164" fontId="0" fillId="3" borderId="1" xfId="2" applyNumberFormat="1" applyFont="1" applyFill="1" applyBorder="1" applyAlignment="1" applyProtection="1">
      <alignment horizontal="right" vertical="center"/>
      <protection locked="0"/>
    </xf>
    <xf numFmtId="0" fontId="0" fillId="16" borderId="1" xfId="0" applyFill="1" applyBorder="1" applyAlignment="1" applyProtection="1">
      <alignment vertical="center"/>
      <protection locked="0"/>
    </xf>
    <xf numFmtId="0" fontId="0" fillId="16" borderId="1" xfId="0" applyFill="1" applyBorder="1" applyAlignment="1" applyProtection="1">
      <alignment horizontal="right" vertical="center"/>
      <protection locked="0"/>
    </xf>
    <xf numFmtId="164" fontId="0" fillId="16" borderId="1" xfId="2" applyNumberFormat="1" applyFont="1" applyFill="1" applyBorder="1" applyAlignment="1" applyProtection="1">
      <alignment horizontal="right" vertical="center"/>
      <protection locked="0"/>
    </xf>
    <xf numFmtId="9" fontId="0" fillId="16" borderId="1" xfId="0" applyNumberFormat="1" applyFill="1" applyBorder="1" applyAlignment="1" applyProtection="1">
      <alignment vertical="center"/>
      <protection locked="0"/>
    </xf>
    <xf numFmtId="9" fontId="0" fillId="16" borderId="1" xfId="1" applyFont="1" applyFill="1" applyBorder="1" applyAlignment="1" applyProtection="1">
      <alignment vertical="center"/>
      <protection locked="0"/>
    </xf>
    <xf numFmtId="9" fontId="0" fillId="16" borderId="1" xfId="0" applyNumberFormat="1" applyFill="1" applyBorder="1" applyProtection="1">
      <protection locked="0"/>
    </xf>
    <xf numFmtId="0" fontId="0" fillId="16" borderId="1" xfId="0" applyFill="1" applyBorder="1" applyProtection="1">
      <protection locked="0"/>
    </xf>
    <xf numFmtId="9" fontId="0" fillId="16" borderId="13" xfId="1" applyFont="1" applyFill="1" applyBorder="1" applyAlignment="1" applyProtection="1">
      <alignment vertical="center"/>
      <protection locked="0"/>
    </xf>
    <xf numFmtId="165" fontId="0" fillId="3" borderId="1" xfId="2" applyNumberFormat="1" applyFont="1" applyFill="1" applyBorder="1" applyProtection="1">
      <protection locked="0"/>
    </xf>
    <xf numFmtId="165" fontId="0" fillId="3" borderId="1" xfId="2" applyNumberFormat="1" applyFont="1" applyFill="1" applyBorder="1" applyAlignment="1" applyProtection="1">
      <alignment horizontal="center" vertical="center"/>
      <protection locked="0"/>
    </xf>
    <xf numFmtId="9" fontId="0" fillId="0" borderId="18" xfId="1" applyFont="1" applyFill="1" applyBorder="1" applyAlignment="1" applyProtection="1">
      <alignment horizontal="center" vertical="center"/>
      <protection locked="0"/>
    </xf>
    <xf numFmtId="0" fontId="0" fillId="15" borderId="0" xfId="0" applyFill="1"/>
    <xf numFmtId="0" fontId="0" fillId="0" borderId="0" xfId="0" applyAlignment="1">
      <alignment horizontal="left" vertical="center" wrapText="1"/>
    </xf>
    <xf numFmtId="0" fontId="0" fillId="0" borderId="0" xfId="0" applyAlignment="1">
      <alignment horizontal="left" vertical="center"/>
    </xf>
    <xf numFmtId="0" fontId="0" fillId="5" borderId="0" xfId="0" applyFill="1"/>
    <xf numFmtId="0" fontId="0" fillId="16" borderId="1" xfId="0" applyFill="1" applyBorder="1" applyAlignment="1" applyProtection="1">
      <alignment horizontal="right"/>
      <protection locked="0"/>
    </xf>
    <xf numFmtId="9" fontId="0" fillId="16" borderId="1" xfId="0" applyNumberFormat="1" applyFill="1" applyBorder="1" applyAlignment="1" applyProtection="1">
      <alignment horizontal="right" vertical="center"/>
      <protection locked="0"/>
    </xf>
    <xf numFmtId="0" fontId="0" fillId="3" borderId="0" xfId="0" applyFill="1"/>
    <xf numFmtId="10" fontId="0" fillId="3" borderId="1" xfId="1" applyNumberFormat="1" applyFont="1" applyFill="1" applyBorder="1" applyAlignment="1" applyProtection="1">
      <alignment vertical="center"/>
      <protection locked="0"/>
    </xf>
    <xf numFmtId="0" fontId="0" fillId="6" borderId="5" xfId="0" applyFill="1" applyBorder="1"/>
    <xf numFmtId="0" fontId="0" fillId="3" borderId="1" xfId="0" applyFill="1" applyBorder="1" applyAlignment="1" applyProtection="1">
      <alignment vertical="center" wrapText="1"/>
      <protection locked="0"/>
    </xf>
    <xf numFmtId="9" fontId="7" fillId="16" borderId="34" xfId="0" applyNumberFormat="1" applyFont="1" applyFill="1" applyBorder="1" applyAlignment="1" applyProtection="1">
      <alignment horizontal="center" vertical="center"/>
      <protection locked="0"/>
    </xf>
    <xf numFmtId="9" fontId="7" fillId="16" borderId="30" xfId="0" applyNumberFormat="1" applyFont="1" applyFill="1" applyBorder="1" applyAlignment="1" applyProtection="1">
      <alignment horizontal="center" vertical="center"/>
      <protection locked="0"/>
    </xf>
    <xf numFmtId="9" fontId="0" fillId="3" borderId="1" xfId="0" applyNumberFormat="1" applyFill="1" applyBorder="1" applyAlignment="1" applyProtection="1">
      <alignment vertical="center" wrapText="1"/>
      <protection locked="0"/>
    </xf>
    <xf numFmtId="165" fontId="0" fillId="3" borderId="1" xfId="2" applyNumberFormat="1" applyFont="1" applyFill="1" applyBorder="1" applyAlignment="1" applyProtection="1">
      <alignment horizontal="right"/>
      <protection locked="0"/>
    </xf>
    <xf numFmtId="0" fontId="0" fillId="0" borderId="1" xfId="0" applyBorder="1" applyProtection="1">
      <protection locked="0"/>
    </xf>
    <xf numFmtId="9" fontId="0" fillId="0" borderId="1" xfId="0" applyNumberFormat="1" applyBorder="1" applyProtection="1">
      <protection locked="0"/>
    </xf>
    <xf numFmtId="165" fontId="0" fillId="0" borderId="1" xfId="2" applyNumberFormat="1" applyFont="1" applyFill="1" applyBorder="1" applyProtection="1">
      <protection locked="0"/>
    </xf>
    <xf numFmtId="4" fontId="0" fillId="3" borderId="1" xfId="2" applyNumberFormat="1" applyFont="1" applyFill="1" applyBorder="1" applyProtection="1">
      <protection locked="0"/>
    </xf>
    <xf numFmtId="165" fontId="0" fillId="0" borderId="14" xfId="2" applyNumberFormat="1" applyFont="1" applyFill="1" applyBorder="1" applyProtection="1">
      <protection locked="0"/>
    </xf>
    <xf numFmtId="0" fontId="0" fillId="3" borderId="33" xfId="0" applyFill="1" applyBorder="1" applyProtection="1">
      <protection locked="0"/>
    </xf>
    <xf numFmtId="9" fontId="0" fillId="3" borderId="33" xfId="0" applyNumberFormat="1" applyFill="1" applyBorder="1" applyProtection="1">
      <protection locked="0"/>
    </xf>
    <xf numFmtId="165" fontId="0" fillId="0" borderId="33" xfId="2" applyNumberFormat="1" applyFont="1" applyFill="1" applyBorder="1" applyProtection="1">
      <protection locked="0"/>
    </xf>
    <xf numFmtId="3" fontId="0" fillId="3" borderId="1" xfId="0" applyNumberFormat="1" applyFill="1" applyBorder="1" applyAlignment="1" applyProtection="1">
      <alignment vertical="center"/>
      <protection locked="0"/>
    </xf>
    <xf numFmtId="165" fontId="29" fillId="3" borderId="1" xfId="2" applyNumberFormat="1" applyFont="1" applyFill="1" applyBorder="1" applyProtection="1">
      <protection locked="0"/>
    </xf>
    <xf numFmtId="0" fontId="0" fillId="16" borderId="14" xfId="0" applyFill="1" applyBorder="1" applyAlignment="1" applyProtection="1">
      <alignment vertical="center"/>
      <protection locked="0"/>
    </xf>
    <xf numFmtId="0" fontId="0" fillId="0" borderId="14" xfId="0" applyBorder="1" applyAlignment="1" applyProtection="1">
      <alignment vertical="center"/>
      <protection locked="0"/>
    </xf>
    <xf numFmtId="0" fontId="0" fillId="16" borderId="1" xfId="1" applyNumberFormat="1" applyFont="1" applyFill="1" applyBorder="1" applyAlignment="1" applyProtection="1">
      <alignment vertical="center"/>
      <protection locked="0"/>
    </xf>
    <xf numFmtId="0" fontId="0" fillId="3" borderId="27" xfId="0" applyFill="1" applyBorder="1" applyAlignment="1">
      <alignment horizontal="justify" vertical="center"/>
    </xf>
    <xf numFmtId="0" fontId="10" fillId="2" borderId="27" xfId="0" applyFont="1" applyFill="1" applyBorder="1" applyAlignment="1">
      <alignment horizontal="justify" vertical="center"/>
    </xf>
    <xf numFmtId="0" fontId="0" fillId="3" borderId="27" xfId="0" applyFill="1" applyBorder="1" applyAlignment="1">
      <alignment horizontal="left" vertical="center"/>
    </xf>
    <xf numFmtId="0" fontId="19" fillId="3" borderId="27" xfId="0" applyFont="1" applyFill="1" applyBorder="1" applyAlignment="1">
      <alignment horizontal="justify" vertical="center"/>
    </xf>
    <xf numFmtId="0" fontId="7" fillId="3" borderId="27" xfId="0" applyFont="1" applyFill="1" applyBorder="1" applyAlignment="1">
      <alignment horizontal="justify" vertical="center"/>
    </xf>
    <xf numFmtId="0" fontId="5" fillId="3" borderId="27" xfId="0" applyFont="1" applyFill="1" applyBorder="1" applyAlignment="1">
      <alignment horizontal="justify" vertical="center"/>
    </xf>
    <xf numFmtId="0" fontId="20" fillId="3" borderId="27" xfId="0" applyFont="1" applyFill="1" applyBorder="1" applyAlignment="1">
      <alignment horizontal="justify" vertical="center"/>
    </xf>
    <xf numFmtId="0" fontId="10" fillId="3" borderId="27" xfId="0" applyFont="1" applyFill="1" applyBorder="1" applyAlignment="1">
      <alignment horizontal="justify" vertical="center"/>
    </xf>
    <xf numFmtId="0" fontId="3" fillId="3" borderId="27" xfId="0" applyFont="1" applyFill="1" applyBorder="1" applyAlignment="1">
      <alignment horizontal="justify" vertical="center"/>
    </xf>
    <xf numFmtId="0" fontId="0" fillId="3" borderId="15" xfId="0" applyFill="1" applyBorder="1" applyAlignment="1">
      <alignment horizontal="justify" vertical="center"/>
    </xf>
    <xf numFmtId="0" fontId="0" fillId="3" borderId="32" xfId="0" applyFill="1" applyBorder="1" applyProtection="1">
      <protection locked="0"/>
    </xf>
    <xf numFmtId="0" fontId="3" fillId="11" borderId="24" xfId="0" applyFont="1" applyFill="1" applyBorder="1" applyAlignment="1">
      <alignment horizontal="center" vertical="center"/>
    </xf>
    <xf numFmtId="49" fontId="0" fillId="3" borderId="27" xfId="0" applyNumberFormat="1" applyFill="1" applyBorder="1" applyAlignment="1">
      <alignment horizontal="justify" vertical="center"/>
    </xf>
    <xf numFmtId="165" fontId="29" fillId="3" borderId="1" xfId="2" applyNumberFormat="1" applyFont="1" applyFill="1" applyBorder="1" applyAlignment="1" applyProtection="1">
      <alignment horizontal="right" vertical="center"/>
      <protection locked="0"/>
    </xf>
    <xf numFmtId="0" fontId="0" fillId="3" borderId="20" xfId="0" applyFill="1" applyBorder="1" applyProtection="1">
      <protection locked="0"/>
    </xf>
    <xf numFmtId="3" fontId="0" fillId="3" borderId="1" xfId="0" applyNumberFormat="1" applyFill="1" applyBorder="1" applyProtection="1">
      <protection locked="0"/>
    </xf>
    <xf numFmtId="3" fontId="0" fillId="3" borderId="14" xfId="0" applyNumberFormat="1" applyFill="1" applyBorder="1" applyProtection="1">
      <protection locked="0"/>
    </xf>
    <xf numFmtId="0" fontId="0" fillId="3" borderId="0" xfId="0" applyFill="1" applyAlignment="1">
      <alignment horizontal="right"/>
    </xf>
    <xf numFmtId="175" fontId="9" fillId="0" borderId="1" xfId="3" applyFont="1" applyBorder="1" applyAlignment="1" applyProtection="1">
      <alignment horizontal="right"/>
      <protection locked="0"/>
    </xf>
    <xf numFmtId="4" fontId="0" fillId="0" borderId="1" xfId="0" applyNumberFormat="1" applyBorder="1" applyProtection="1">
      <protection locked="0"/>
    </xf>
    <xf numFmtId="0" fontId="10" fillId="3" borderId="0" xfId="0" applyFont="1" applyFill="1" applyAlignment="1">
      <alignment horizontal="center" vertical="center"/>
    </xf>
    <xf numFmtId="0" fontId="10" fillId="0" borderId="1" xfId="0" applyFont="1" applyBorder="1" applyAlignment="1" applyProtection="1">
      <alignment horizontal="left" vertical="center" wrapText="1"/>
      <protection locked="0"/>
    </xf>
    <xf numFmtId="0" fontId="10" fillId="3" borderId="1" xfId="0" applyFont="1" applyFill="1" applyBorder="1" applyAlignment="1" applyProtection="1">
      <alignment horizontal="center" vertical="center"/>
      <protection locked="0"/>
    </xf>
    <xf numFmtId="0" fontId="0" fillId="5" borderId="8" xfId="0" applyFill="1" applyBorder="1"/>
    <xf numFmtId="0" fontId="0" fillId="5" borderId="9" xfId="0" applyFill="1" applyBorder="1"/>
    <xf numFmtId="0" fontId="0" fillId="3" borderId="0" xfId="0" applyFill="1" applyAlignment="1">
      <alignment wrapText="1"/>
    </xf>
    <xf numFmtId="0" fontId="0" fillId="5" borderId="6" xfId="0" applyFill="1" applyBorder="1"/>
    <xf numFmtId="9" fontId="0" fillId="7" borderId="0" xfId="1" applyFont="1" applyFill="1" applyBorder="1" applyAlignment="1" applyProtection="1">
      <alignment vertical="center"/>
    </xf>
    <xf numFmtId="9" fontId="0" fillId="7" borderId="0" xfId="1" applyFont="1" applyFill="1" applyBorder="1" applyProtection="1"/>
    <xf numFmtId="9" fontId="0" fillId="7" borderId="8" xfId="1" applyFont="1" applyFill="1" applyBorder="1" applyProtection="1"/>
    <xf numFmtId="0" fontId="0" fillId="7" borderId="4" xfId="0" applyFill="1" applyBorder="1"/>
    <xf numFmtId="9" fontId="0" fillId="3" borderId="0" xfId="1" applyFont="1" applyFill="1" applyBorder="1" applyAlignment="1" applyProtection="1">
      <alignment horizontal="right"/>
    </xf>
    <xf numFmtId="164" fontId="0" fillId="7" borderId="0" xfId="2" applyNumberFormat="1" applyFont="1" applyFill="1" applyBorder="1" applyAlignment="1" applyProtection="1">
      <alignment vertical="center"/>
    </xf>
    <xf numFmtId="9" fontId="0" fillId="3" borderId="0" xfId="1" applyFont="1" applyFill="1" applyBorder="1" applyAlignment="1" applyProtection="1">
      <alignment vertical="center"/>
    </xf>
    <xf numFmtId="9" fontId="0" fillId="3" borderId="0" xfId="1" applyFont="1" applyFill="1" applyBorder="1" applyAlignment="1" applyProtection="1">
      <alignment horizontal="center" vertical="center"/>
    </xf>
    <xf numFmtId="1" fontId="0" fillId="5" borderId="0" xfId="0" applyNumberFormat="1" applyFill="1"/>
    <xf numFmtId="0" fontId="0" fillId="7" borderId="0" xfId="1" applyNumberFormat="1" applyFont="1" applyFill="1" applyBorder="1" applyAlignment="1" applyProtection="1">
      <alignment vertical="center"/>
    </xf>
    <xf numFmtId="3" fontId="0" fillId="7" borderId="0" xfId="1" applyNumberFormat="1" applyFont="1" applyFill="1" applyBorder="1" applyAlignment="1" applyProtection="1">
      <alignment vertical="center"/>
    </xf>
    <xf numFmtId="0" fontId="0" fillId="7" borderId="0" xfId="1" applyNumberFormat="1" applyFont="1" applyFill="1" applyBorder="1" applyAlignment="1" applyProtection="1">
      <alignment horizontal="center" vertical="center"/>
    </xf>
    <xf numFmtId="169" fontId="0" fillId="0" borderId="0" xfId="1" applyNumberFormat="1" applyFont="1" applyFill="1" applyProtection="1"/>
    <xf numFmtId="167" fontId="0" fillId="16" borderId="1" xfId="0" applyNumberFormat="1" applyFill="1" applyBorder="1" applyAlignment="1" applyProtection="1">
      <alignment horizontal="right" vertical="center"/>
      <protection locked="0"/>
    </xf>
    <xf numFmtId="0" fontId="0" fillId="21" borderId="6" xfId="0" applyFill="1" applyBorder="1"/>
    <xf numFmtId="1" fontId="0" fillId="21" borderId="6" xfId="0" applyNumberFormat="1" applyFill="1" applyBorder="1"/>
    <xf numFmtId="0" fontId="0" fillId="3" borderId="23" xfId="0" applyFill="1" applyBorder="1" applyProtection="1">
      <protection locked="0"/>
    </xf>
    <xf numFmtId="0" fontId="2" fillId="3" borderId="1" xfId="0" applyFont="1" applyFill="1" applyBorder="1" applyAlignment="1" applyProtection="1">
      <alignment horizontal="right" vertical="center"/>
      <protection locked="0"/>
    </xf>
    <xf numFmtId="0" fontId="2" fillId="0" borderId="1" xfId="0" applyFont="1" applyBorder="1" applyAlignment="1" applyProtection="1">
      <alignment horizontal="right" vertical="center"/>
      <protection locked="0"/>
    </xf>
    <xf numFmtId="0" fontId="0" fillId="3" borderId="20" xfId="0" applyFill="1" applyBorder="1" applyAlignment="1" applyProtection="1">
      <alignment vertical="center" wrapText="1"/>
      <protection locked="0"/>
    </xf>
    <xf numFmtId="0" fontId="0" fillId="3" borderId="31" xfId="0" applyFill="1" applyBorder="1" applyProtection="1">
      <protection locked="0"/>
    </xf>
    <xf numFmtId="3" fontId="0" fillId="3" borderId="20" xfId="0" applyNumberFormat="1" applyFill="1" applyBorder="1" applyProtection="1">
      <protection locked="0"/>
    </xf>
    <xf numFmtId="3" fontId="0" fillId="3" borderId="31" xfId="0" applyNumberFormat="1" applyFill="1" applyBorder="1" applyProtection="1">
      <protection locked="0"/>
    </xf>
    <xf numFmtId="0" fontId="39" fillId="0" borderId="0" xfId="0" applyFont="1"/>
    <xf numFmtId="1" fontId="0" fillId="21" borderId="0" xfId="0" applyNumberFormat="1" applyFill="1"/>
    <xf numFmtId="1" fontId="0" fillId="21" borderId="8" xfId="0" applyNumberFormat="1" applyFill="1" applyBorder="1"/>
    <xf numFmtId="0" fontId="20" fillId="22" borderId="0" xfId="0" applyFont="1" applyFill="1" applyAlignment="1">
      <alignment wrapText="1"/>
    </xf>
    <xf numFmtId="1" fontId="0" fillId="7" borderId="0" xfId="1" applyNumberFormat="1" applyFont="1" applyFill="1" applyBorder="1" applyAlignment="1" applyProtection="1">
      <alignment vertical="center"/>
    </xf>
    <xf numFmtId="0" fontId="0" fillId="3" borderId="1" xfId="0" applyFill="1" applyBorder="1" applyAlignment="1" applyProtection="1">
      <alignment horizontal="center" vertical="center"/>
      <protection locked="0"/>
    </xf>
    <xf numFmtId="49" fontId="0" fillId="3" borderId="27" xfId="0" applyNumberFormat="1" applyFill="1" applyBorder="1" applyAlignment="1">
      <alignment horizontal="left" vertical="center"/>
    </xf>
    <xf numFmtId="0" fontId="0" fillId="3" borderId="27" xfId="0" applyFill="1" applyBorder="1" applyAlignment="1">
      <alignment horizontal="justify" vertical="center" wrapText="1"/>
    </xf>
    <xf numFmtId="49" fontId="0" fillId="3" borderId="27" xfId="0" applyNumberFormat="1" applyFill="1" applyBorder="1" applyAlignment="1">
      <alignment horizontal="justify" vertical="center" wrapText="1"/>
    </xf>
    <xf numFmtId="0" fontId="0" fillId="21" borderId="6" xfId="0" applyFill="1" applyBorder="1" applyAlignment="1">
      <alignment horizontal="right"/>
    </xf>
    <xf numFmtId="3" fontId="0" fillId="16" borderId="1" xfId="0" applyNumberFormat="1" applyFill="1" applyBorder="1" applyAlignment="1" applyProtection="1">
      <alignment vertical="center"/>
      <protection locked="0"/>
    </xf>
    <xf numFmtId="0" fontId="9" fillId="16" borderId="1" xfId="0" applyFont="1" applyFill="1" applyBorder="1" applyAlignment="1" applyProtection="1">
      <alignment vertical="center"/>
      <protection locked="0"/>
    </xf>
    <xf numFmtId="0" fontId="0" fillId="3" borderId="13" xfId="0" applyFill="1" applyBorder="1" applyProtection="1">
      <protection locked="0"/>
    </xf>
    <xf numFmtId="9" fontId="0" fillId="3" borderId="13" xfId="0" applyNumberFormat="1" applyFill="1" applyBorder="1" applyProtection="1">
      <protection locked="0"/>
    </xf>
    <xf numFmtId="165" fontId="29" fillId="3" borderId="1" xfId="2" applyNumberFormat="1" applyFont="1" applyFill="1" applyBorder="1" applyAlignment="1" applyProtection="1">
      <alignment horizontal="right"/>
      <protection locked="0"/>
    </xf>
    <xf numFmtId="165" fontId="0" fillId="0" borderId="13" xfId="2" applyNumberFormat="1" applyFont="1" applyFill="1" applyBorder="1" applyProtection="1">
      <protection locked="0"/>
    </xf>
    <xf numFmtId="0" fontId="0" fillId="3" borderId="37" xfId="0" applyFill="1" applyBorder="1" applyProtection="1">
      <protection locked="0"/>
    </xf>
    <xf numFmtId="0" fontId="0" fillId="3" borderId="38" xfId="0" applyFill="1" applyBorder="1" applyProtection="1">
      <protection locked="0"/>
    </xf>
    <xf numFmtId="9" fontId="0" fillId="3" borderId="38" xfId="0" applyNumberFormat="1" applyFill="1" applyBorder="1" applyProtection="1">
      <protection locked="0"/>
    </xf>
    <xf numFmtId="165" fontId="0" fillId="3" borderId="13" xfId="2" applyNumberFormat="1" applyFont="1" applyFill="1" applyBorder="1" applyProtection="1">
      <protection locked="0"/>
    </xf>
    <xf numFmtId="0" fontId="42" fillId="3" borderId="27" xfId="0" applyFont="1" applyFill="1" applyBorder="1" applyAlignment="1">
      <alignment horizontal="justify" vertical="center"/>
    </xf>
    <xf numFmtId="164" fontId="29" fillId="3" borderId="1" xfId="2" applyNumberFormat="1" applyFont="1" applyFill="1" applyBorder="1" applyProtection="1">
      <protection locked="0"/>
    </xf>
    <xf numFmtId="9" fontId="0" fillId="3" borderId="0" xfId="1" applyFont="1" applyFill="1" applyBorder="1" applyAlignment="1" applyProtection="1">
      <alignment horizontal="center"/>
    </xf>
    <xf numFmtId="0" fontId="0" fillId="3" borderId="5" xfId="0" applyFill="1" applyBorder="1" applyAlignment="1" applyProtection="1">
      <alignment horizontal="right"/>
      <protection locked="0"/>
    </xf>
    <xf numFmtId="0" fontId="0" fillId="3" borderId="5" xfId="0" applyFill="1" applyBorder="1" applyAlignment="1" applyProtection="1">
      <alignment horizontal="right" wrapText="1"/>
      <protection locked="0"/>
    </xf>
    <xf numFmtId="0" fontId="0" fillId="3" borderId="7" xfId="0" applyFill="1" applyBorder="1" applyAlignment="1" applyProtection="1">
      <alignment horizontal="right"/>
      <protection locked="0"/>
    </xf>
    <xf numFmtId="165" fontId="0" fillId="3" borderId="13" xfId="2" applyNumberFormat="1" applyFont="1" applyFill="1" applyBorder="1" applyAlignment="1" applyProtection="1">
      <alignment horizontal="right"/>
      <protection locked="0"/>
    </xf>
    <xf numFmtId="164" fontId="29" fillId="3" borderId="13" xfId="2" applyNumberFormat="1" applyFont="1" applyFill="1" applyBorder="1" applyProtection="1">
      <protection locked="0"/>
    </xf>
    <xf numFmtId="0" fontId="9" fillId="3" borderId="28" xfId="0" applyFont="1" applyFill="1" applyBorder="1" applyAlignment="1" applyProtection="1">
      <alignment horizontal="right"/>
      <protection locked="0"/>
    </xf>
    <xf numFmtId="0" fontId="9" fillId="3" borderId="5" xfId="0" applyFont="1" applyFill="1" applyBorder="1" applyAlignment="1" applyProtection="1">
      <alignment horizontal="right"/>
      <protection locked="0"/>
    </xf>
    <xf numFmtId="0" fontId="0" fillId="3" borderId="5" xfId="0" applyFill="1" applyBorder="1" applyAlignment="1" applyProtection="1">
      <alignment horizontal="right" vertical="center"/>
      <protection locked="0"/>
    </xf>
    <xf numFmtId="0" fontId="9" fillId="3" borderId="7" xfId="0" applyFont="1" applyFill="1" applyBorder="1" applyAlignment="1" applyProtection="1">
      <alignment horizontal="right"/>
      <protection locked="0"/>
    </xf>
    <xf numFmtId="0" fontId="9" fillId="3" borderId="5" xfId="0" applyFont="1" applyFill="1" applyBorder="1" applyAlignment="1" applyProtection="1">
      <alignment horizontal="right" indent="1"/>
      <protection locked="0"/>
    </xf>
    <xf numFmtId="0" fontId="28" fillId="3" borderId="5" xfId="0" applyFont="1" applyFill="1" applyBorder="1" applyAlignment="1" applyProtection="1">
      <alignment horizontal="right"/>
      <protection locked="0"/>
    </xf>
    <xf numFmtId="0" fontId="9" fillId="3" borderId="5" xfId="0" applyFont="1" applyFill="1" applyBorder="1" applyAlignment="1" applyProtection="1">
      <alignment horizontal="right" wrapText="1"/>
      <protection locked="0"/>
    </xf>
    <xf numFmtId="0" fontId="0" fillId="0" borderId="0" xfId="0" applyProtection="1">
      <protection locked="0"/>
    </xf>
    <xf numFmtId="0" fontId="0" fillId="3" borderId="7" xfId="0" applyFill="1" applyBorder="1" applyAlignment="1" applyProtection="1">
      <alignment horizontal="right" vertical="center"/>
      <protection locked="0"/>
    </xf>
    <xf numFmtId="0" fontId="0" fillId="3" borderId="13" xfId="0" applyFill="1" applyBorder="1" applyAlignment="1" applyProtection="1">
      <alignment vertical="center"/>
      <protection locked="0"/>
    </xf>
    <xf numFmtId="165" fontId="0" fillId="3" borderId="13" xfId="2" applyNumberFormat="1" applyFont="1" applyFill="1" applyBorder="1" applyAlignment="1" applyProtection="1">
      <alignment horizontal="center" vertical="center"/>
      <protection locked="0"/>
    </xf>
    <xf numFmtId="0" fontId="9" fillId="3" borderId="28" xfId="0" applyFont="1" applyFill="1" applyBorder="1" applyAlignment="1" applyProtection="1">
      <alignment horizontal="right" indent="1"/>
      <protection locked="0"/>
    </xf>
    <xf numFmtId="0" fontId="0" fillId="0" borderId="13" xfId="0" applyBorder="1" applyProtection="1">
      <protection locked="0"/>
    </xf>
    <xf numFmtId="9" fontId="0" fillId="0" borderId="13" xfId="0" applyNumberFormat="1" applyBorder="1" applyProtection="1">
      <protection locked="0"/>
    </xf>
    <xf numFmtId="0" fontId="0" fillId="0" borderId="0" xfId="0" applyAlignment="1">
      <alignment vertical="top" wrapText="1"/>
    </xf>
    <xf numFmtId="0" fontId="0" fillId="16" borderId="1" xfId="0" applyFill="1" applyBorder="1" applyAlignment="1" applyProtection="1">
      <alignment horizontal="center" vertical="center"/>
      <protection locked="0"/>
    </xf>
    <xf numFmtId="0" fontId="0" fillId="6" borderId="2" xfId="0" applyFill="1" applyBorder="1"/>
    <xf numFmtId="0" fontId="0" fillId="5" borderId="0" xfId="0" applyFill="1" applyAlignment="1">
      <alignment horizontal="center"/>
    </xf>
    <xf numFmtId="0" fontId="0" fillId="5" borderId="6" xfId="0" applyFill="1" applyBorder="1" applyAlignment="1">
      <alignment horizontal="center"/>
    </xf>
    <xf numFmtId="2" fontId="0" fillId="3" borderId="6" xfId="1" applyNumberFormat="1" applyFont="1" applyFill="1" applyBorder="1" applyAlignment="1" applyProtection="1">
      <alignment horizontal="center"/>
    </xf>
    <xf numFmtId="2" fontId="0" fillId="3" borderId="9" xfId="1" applyNumberFormat="1" applyFont="1" applyFill="1" applyBorder="1" applyAlignment="1" applyProtection="1">
      <alignment horizontal="center"/>
    </xf>
    <xf numFmtId="0" fontId="10" fillId="3" borderId="19" xfId="0" applyFont="1" applyFill="1" applyBorder="1" applyAlignment="1" applyProtection="1">
      <alignment horizontal="center" vertical="center"/>
      <protection locked="0"/>
    </xf>
    <xf numFmtId="0" fontId="2" fillId="3" borderId="13" xfId="0" applyFont="1" applyFill="1" applyBorder="1" applyAlignment="1" applyProtection="1">
      <alignment horizontal="right" vertical="center"/>
      <protection locked="0"/>
    </xf>
    <xf numFmtId="9" fontId="5" fillId="24" borderId="18" xfId="1" applyFont="1" applyFill="1" applyBorder="1" applyAlignment="1" applyProtection="1">
      <alignment horizontal="center" vertical="center"/>
    </xf>
    <xf numFmtId="0" fontId="0" fillId="25" borderId="4" xfId="0" applyFill="1" applyBorder="1"/>
    <xf numFmtId="172" fontId="0" fillId="25" borderId="6" xfId="0" applyNumberFormat="1" applyFill="1" applyBorder="1"/>
    <xf numFmtId="3" fontId="0" fillId="25" borderId="6" xfId="0" applyNumberFormat="1" applyFill="1" applyBorder="1"/>
    <xf numFmtId="3" fontId="0" fillId="25" borderId="9" xfId="0" applyNumberFormat="1" applyFill="1" applyBorder="1"/>
    <xf numFmtId="0" fontId="0" fillId="25" borderId="2" xfId="0" applyFill="1" applyBorder="1"/>
    <xf numFmtId="0" fontId="0" fillId="25" borderId="5" xfId="0" applyFill="1" applyBorder="1"/>
    <xf numFmtId="9" fontId="0" fillId="25" borderId="6" xfId="0" applyNumberFormat="1" applyFill="1" applyBorder="1"/>
    <xf numFmtId="0" fontId="0" fillId="25" borderId="7" xfId="0" applyFill="1" applyBorder="1"/>
    <xf numFmtId="9" fontId="0" fillId="25" borderId="9" xfId="0" applyNumberFormat="1" applyFill="1" applyBorder="1"/>
    <xf numFmtId="0" fontId="0" fillId="25" borderId="5" xfId="0" applyFill="1" applyBorder="1" applyAlignment="1">
      <alignment horizontal="right"/>
    </xf>
    <xf numFmtId="0" fontId="0" fillId="25" borderId="7" xfId="0" applyFill="1" applyBorder="1" applyAlignment="1">
      <alignment horizontal="right"/>
    </xf>
    <xf numFmtId="0" fontId="0" fillId="25" borderId="2" xfId="0" applyFill="1" applyBorder="1" applyAlignment="1">
      <alignment horizontal="right"/>
    </xf>
    <xf numFmtId="0" fontId="0" fillId="25" borderId="0" xfId="0" applyFill="1" applyAlignment="1">
      <alignment horizontal="right"/>
    </xf>
    <xf numFmtId="0" fontId="0" fillId="25" borderId="8" xfId="0" applyFill="1" applyBorder="1" applyAlignment="1">
      <alignment horizontal="right"/>
    </xf>
    <xf numFmtId="0" fontId="0" fillId="25" borderId="3" xfId="0" applyFill="1" applyBorder="1"/>
    <xf numFmtId="172" fontId="0" fillId="25" borderId="9" xfId="0" applyNumberFormat="1" applyFill="1" applyBorder="1"/>
    <xf numFmtId="0" fontId="0" fillId="16" borderId="0" xfId="0" applyFill="1"/>
    <xf numFmtId="164" fontId="0" fillId="16" borderId="0" xfId="0" applyNumberFormat="1" applyFill="1"/>
    <xf numFmtId="0" fontId="0" fillId="16" borderId="2" xfId="0" applyFill="1" applyBorder="1"/>
    <xf numFmtId="0" fontId="0" fillId="16" borderId="3" xfId="0" applyFill="1" applyBorder="1"/>
    <xf numFmtId="0" fontId="0" fillId="16" borderId="5" xfId="0" applyFill="1" applyBorder="1"/>
    <xf numFmtId="0" fontId="0" fillId="16" borderId="6" xfId="0" applyFill="1" applyBorder="1"/>
    <xf numFmtId="164" fontId="0" fillId="16" borderId="6" xfId="0" applyNumberFormat="1" applyFill="1" applyBorder="1"/>
    <xf numFmtId="0" fontId="0" fillId="16" borderId="7" xfId="0" applyFill="1" applyBorder="1"/>
    <xf numFmtId="0" fontId="0" fillId="16" borderId="8" xfId="0" applyFill="1" applyBorder="1"/>
    <xf numFmtId="0" fontId="9" fillId="16" borderId="0" xfId="0" applyFont="1" applyFill="1"/>
    <xf numFmtId="3" fontId="9" fillId="16" borderId="0" xfId="0" applyNumberFormat="1" applyFont="1" applyFill="1"/>
    <xf numFmtId="164" fontId="9" fillId="16" borderId="0" xfId="0" applyNumberFormat="1" applyFont="1" applyFill="1"/>
    <xf numFmtId="1" fontId="9" fillId="16" borderId="0" xfId="0" applyNumberFormat="1" applyFont="1" applyFill="1"/>
    <xf numFmtId="0" fontId="9" fillId="16" borderId="2" xfId="0" applyFont="1" applyFill="1" applyBorder="1"/>
    <xf numFmtId="0" fontId="9" fillId="16" borderId="3" xfId="0" applyFont="1" applyFill="1" applyBorder="1"/>
    <xf numFmtId="0" fontId="9" fillId="16" borderId="4" xfId="0" applyFont="1" applyFill="1" applyBorder="1"/>
    <xf numFmtId="0" fontId="9" fillId="16" borderId="5" xfId="0" applyFont="1" applyFill="1" applyBorder="1"/>
    <xf numFmtId="0" fontId="9" fillId="16" borderId="6" xfId="0" applyFont="1" applyFill="1" applyBorder="1"/>
    <xf numFmtId="3" fontId="9" fillId="16" borderId="6" xfId="0" applyNumberFormat="1" applyFont="1" applyFill="1" applyBorder="1"/>
    <xf numFmtId="1" fontId="9" fillId="16" borderId="6" xfId="0" applyNumberFormat="1" applyFont="1" applyFill="1" applyBorder="1"/>
    <xf numFmtId="0" fontId="9" fillId="16" borderId="7" xfId="0" applyFont="1" applyFill="1" applyBorder="1"/>
    <xf numFmtId="0" fontId="9" fillId="16" borderId="8" xfId="0" applyFont="1" applyFill="1" applyBorder="1"/>
    <xf numFmtId="164" fontId="9" fillId="16" borderId="0" xfId="2" applyNumberFormat="1" applyFont="1" applyFill="1" applyBorder="1" applyAlignment="1" applyProtection="1">
      <alignment horizontal="right"/>
    </xf>
    <xf numFmtId="164" fontId="45" fillId="16" borderId="6" xfId="2" applyNumberFormat="1" applyFont="1" applyFill="1" applyBorder="1" applyAlignment="1" applyProtection="1">
      <alignment horizontal="right"/>
    </xf>
    <xf numFmtId="176" fontId="9" fillId="16" borderId="0" xfId="2" applyNumberFormat="1" applyFont="1" applyFill="1" applyBorder="1" applyAlignment="1" applyProtection="1">
      <alignment horizontal="right"/>
    </xf>
    <xf numFmtId="164" fontId="9" fillId="16" borderId="6" xfId="2" applyNumberFormat="1" applyFont="1" applyFill="1" applyBorder="1" applyAlignment="1" applyProtection="1">
      <alignment horizontal="right"/>
    </xf>
    <xf numFmtId="177" fontId="9" fillId="16" borderId="0" xfId="2" applyNumberFormat="1" applyFont="1" applyFill="1" applyBorder="1" applyAlignment="1" applyProtection="1">
      <alignment horizontal="right"/>
    </xf>
    <xf numFmtId="0" fontId="0" fillId="0" borderId="1" xfId="0" applyBorder="1" applyAlignment="1" applyProtection="1">
      <alignment horizontal="right" vertical="center"/>
      <protection locked="0"/>
    </xf>
    <xf numFmtId="0" fontId="0" fillId="0" borderId="0" xfId="0" applyAlignment="1">
      <alignment vertical="center" wrapText="1"/>
    </xf>
    <xf numFmtId="0" fontId="0" fillId="16" borderId="4" xfId="0" applyFill="1" applyBorder="1"/>
    <xf numFmtId="164" fontId="0" fillId="16" borderId="9" xfId="0" applyNumberFormat="1" applyFill="1" applyBorder="1"/>
    <xf numFmtId="0" fontId="0" fillId="16" borderId="2" xfId="0" applyFill="1" applyBorder="1" applyAlignment="1">
      <alignment horizontal="right"/>
    </xf>
    <xf numFmtId="0" fontId="0" fillId="16" borderId="5" xfId="0" applyFill="1" applyBorder="1" applyAlignment="1">
      <alignment horizontal="right"/>
    </xf>
    <xf numFmtId="0" fontId="0" fillId="16" borderId="7" xfId="0" applyFill="1" applyBorder="1" applyAlignment="1">
      <alignment horizontal="right"/>
    </xf>
    <xf numFmtId="172" fontId="10" fillId="7" borderId="4" xfId="2" applyNumberFormat="1" applyFont="1" applyFill="1" applyBorder="1" applyAlignment="1" applyProtection="1">
      <alignment horizontal="center" vertical="center"/>
    </xf>
    <xf numFmtId="172" fontId="10" fillId="7" borderId="6" xfId="2" applyNumberFormat="1" applyFont="1" applyFill="1" applyBorder="1" applyAlignment="1" applyProtection="1">
      <alignment horizontal="center" vertical="center"/>
    </xf>
    <xf numFmtId="172" fontId="10" fillId="16" borderId="6" xfId="2" applyNumberFormat="1" applyFont="1" applyFill="1" applyBorder="1" applyAlignment="1" applyProtection="1">
      <alignment vertical="center"/>
    </xf>
    <xf numFmtId="172" fontId="10" fillId="16" borderId="6" xfId="2" applyNumberFormat="1" applyFont="1" applyFill="1" applyBorder="1" applyAlignment="1" applyProtection="1">
      <alignment horizontal="center" vertical="center"/>
    </xf>
    <xf numFmtId="172" fontId="2" fillId="16" borderId="6" xfId="2" applyNumberFormat="1" applyFont="1" applyFill="1" applyBorder="1" applyAlignment="1" applyProtection="1">
      <alignment vertical="center"/>
    </xf>
    <xf numFmtId="9" fontId="10" fillId="16" borderId="6" xfId="1" applyFont="1" applyFill="1" applyBorder="1" applyAlignment="1" applyProtection="1">
      <alignment horizontal="right" vertical="center"/>
    </xf>
    <xf numFmtId="9" fontId="9" fillId="16" borderId="0" xfId="1" applyFont="1" applyFill="1" applyBorder="1" applyAlignment="1" applyProtection="1">
      <alignment horizontal="right" vertical="center" wrapText="1"/>
    </xf>
    <xf numFmtId="9" fontId="0" fillId="16" borderId="3" xfId="1" applyFont="1" applyFill="1" applyBorder="1" applyAlignment="1" applyProtection="1">
      <alignment horizontal="right" vertical="center" wrapText="1"/>
    </xf>
    <xf numFmtId="9" fontId="0" fillId="16" borderId="4" xfId="1" applyFont="1" applyFill="1" applyBorder="1" applyAlignment="1" applyProtection="1">
      <alignment horizontal="right" vertical="center" wrapText="1"/>
    </xf>
    <xf numFmtId="9" fontId="0" fillId="16" borderId="3" xfId="1" applyFont="1" applyFill="1" applyBorder="1" applyAlignment="1" applyProtection="1">
      <alignment vertical="center" wrapText="1"/>
    </xf>
    <xf numFmtId="9" fontId="0" fillId="16" borderId="4" xfId="1" applyFont="1" applyFill="1" applyBorder="1" applyAlignment="1" applyProtection="1">
      <alignment vertical="center" wrapText="1"/>
    </xf>
    <xf numFmtId="9" fontId="0" fillId="16" borderId="0" xfId="1" applyFont="1" applyFill="1" applyBorder="1" applyAlignment="1" applyProtection="1">
      <alignment horizontal="right" vertical="center" wrapText="1"/>
    </xf>
    <xf numFmtId="9" fontId="0" fillId="16" borderId="6" xfId="1" applyFont="1" applyFill="1" applyBorder="1" applyAlignment="1" applyProtection="1">
      <alignment horizontal="right" vertical="center" wrapText="1"/>
    </xf>
    <xf numFmtId="9" fontId="0" fillId="16" borderId="0" xfId="1" applyFont="1" applyFill="1" applyBorder="1" applyAlignment="1" applyProtection="1">
      <alignment vertical="center" wrapText="1"/>
    </xf>
    <xf numFmtId="9" fontId="0" fillId="16" borderId="6" xfId="1" applyFont="1" applyFill="1" applyBorder="1" applyAlignment="1" applyProtection="1">
      <alignment vertical="center" wrapText="1"/>
    </xf>
    <xf numFmtId="9" fontId="46" fillId="16" borderId="0" xfId="1" applyFont="1" applyFill="1" applyBorder="1" applyAlignment="1" applyProtection="1">
      <alignment horizontal="right" vertical="center" wrapText="1"/>
    </xf>
    <xf numFmtId="9" fontId="46" fillId="16" borderId="6" xfId="1" applyFont="1" applyFill="1" applyBorder="1" applyAlignment="1" applyProtection="1">
      <alignment horizontal="right" vertical="center" wrapText="1"/>
    </xf>
    <xf numFmtId="9" fontId="46" fillId="16" borderId="0" xfId="1" applyFont="1" applyFill="1" applyBorder="1" applyAlignment="1" applyProtection="1">
      <alignment vertical="center" wrapText="1"/>
    </xf>
    <xf numFmtId="9" fontId="46" fillId="16" borderId="6" xfId="1" applyFont="1" applyFill="1" applyBorder="1" applyAlignment="1" applyProtection="1">
      <alignment vertical="center" wrapText="1"/>
    </xf>
    <xf numFmtId="9" fontId="48" fillId="16" borderId="0" xfId="1" applyFont="1" applyFill="1" applyBorder="1" applyAlignment="1" applyProtection="1">
      <alignment horizontal="center" vertical="center"/>
    </xf>
    <xf numFmtId="9" fontId="11" fillId="16" borderId="27" xfId="1" applyFont="1" applyFill="1" applyBorder="1" applyAlignment="1" applyProtection="1">
      <alignment horizontal="center"/>
    </xf>
    <xf numFmtId="9" fontId="0" fillId="26" borderId="0" xfId="1" applyFont="1" applyFill="1" applyBorder="1" applyProtection="1"/>
    <xf numFmtId="9" fontId="0" fillId="26" borderId="0" xfId="0" applyNumberFormat="1" applyFill="1"/>
    <xf numFmtId="0" fontId="6" fillId="7" borderId="8"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24" xfId="0" applyFont="1" applyFill="1" applyBorder="1" applyAlignment="1">
      <alignment horizontal="center" vertical="center"/>
    </xf>
    <xf numFmtId="0" fontId="0" fillId="26" borderId="24" xfId="0" applyFill="1" applyBorder="1" applyAlignment="1">
      <alignment horizontal="right" vertical="center"/>
    </xf>
    <xf numFmtId="0" fontId="0" fillId="26" borderId="27" xfId="0" applyFill="1" applyBorder="1" applyAlignment="1">
      <alignment horizontal="right" vertical="center"/>
    </xf>
    <xf numFmtId="0" fontId="0" fillId="26" borderId="15" xfId="0" applyFill="1" applyBorder="1" applyAlignment="1">
      <alignment horizontal="right" vertical="center"/>
    </xf>
    <xf numFmtId="1" fontId="0" fillId="26" borderId="2" xfId="0" applyNumberFormat="1" applyFill="1" applyBorder="1" applyAlignment="1">
      <alignment vertical="center"/>
    </xf>
    <xf numFmtId="1" fontId="0" fillId="26" borderId="4" xfId="0" applyNumberFormat="1" applyFill="1" applyBorder="1" applyAlignment="1">
      <alignment vertical="center"/>
    </xf>
    <xf numFmtId="1" fontId="0" fillId="26" borderId="5" xfId="0" applyNumberFormat="1" applyFill="1" applyBorder="1"/>
    <xf numFmtId="1" fontId="0" fillId="26" borderId="6" xfId="0" applyNumberFormat="1" applyFill="1" applyBorder="1"/>
    <xf numFmtId="168" fontId="0" fillId="26" borderId="5" xfId="0" applyNumberFormat="1" applyFill="1" applyBorder="1"/>
    <xf numFmtId="168" fontId="0" fillId="26" borderId="6" xfId="0" applyNumberFormat="1" applyFill="1" applyBorder="1"/>
    <xf numFmtId="168" fontId="0" fillId="26" borderId="0" xfId="0" applyNumberFormat="1" applyFill="1"/>
    <xf numFmtId="9" fontId="0" fillId="26" borderId="5" xfId="0" applyNumberFormat="1" applyFill="1" applyBorder="1"/>
    <xf numFmtId="9" fontId="0" fillId="26" borderId="6" xfId="0" applyNumberFormat="1" applyFill="1" applyBorder="1"/>
    <xf numFmtId="2" fontId="0" fillId="26" borderId="5" xfId="0" applyNumberFormat="1" applyFill="1" applyBorder="1"/>
    <xf numFmtId="2" fontId="0" fillId="26" borderId="6" xfId="0" applyNumberFormat="1" applyFill="1" applyBorder="1"/>
    <xf numFmtId="0" fontId="0" fillId="26" borderId="5" xfId="0" applyFill="1" applyBorder="1"/>
    <xf numFmtId="0" fontId="0" fillId="26" borderId="6" xfId="0" applyFill="1" applyBorder="1"/>
    <xf numFmtId="1" fontId="0" fillId="26" borderId="0" xfId="0" applyNumberFormat="1" applyFill="1"/>
    <xf numFmtId="1" fontId="0" fillId="26" borderId="7" xfId="0" applyNumberFormat="1" applyFill="1" applyBorder="1"/>
    <xf numFmtId="1" fontId="0" fillId="26" borderId="9" xfId="0" applyNumberFormat="1" applyFill="1" applyBorder="1"/>
    <xf numFmtId="0" fontId="0" fillId="26" borderId="9" xfId="0" applyFill="1" applyBorder="1"/>
    <xf numFmtId="0" fontId="0" fillId="26" borderId="2" xfId="0" applyFill="1" applyBorder="1" applyAlignment="1">
      <alignment horizontal="right" vertical="center" wrapText="1"/>
    </xf>
    <xf numFmtId="0" fontId="0" fillId="26" borderId="3" xfId="0" applyFill="1" applyBorder="1"/>
    <xf numFmtId="1" fontId="0" fillId="26" borderId="3" xfId="0" applyNumberFormat="1" applyFill="1" applyBorder="1"/>
    <xf numFmtId="1" fontId="0" fillId="26" borderId="4" xfId="0" applyNumberFormat="1" applyFill="1" applyBorder="1"/>
    <xf numFmtId="0" fontId="0" fillId="26" borderId="5" xfId="0" applyFill="1" applyBorder="1" applyAlignment="1">
      <alignment horizontal="right" vertical="center" wrapText="1"/>
    </xf>
    <xf numFmtId="168" fontId="0" fillId="26" borderId="0" xfId="0" applyNumberFormat="1" applyFill="1" applyAlignment="1">
      <alignment vertical="center"/>
    </xf>
    <xf numFmtId="168" fontId="0" fillId="26" borderId="6" xfId="0" applyNumberFormat="1" applyFill="1" applyBorder="1" applyAlignment="1">
      <alignment vertical="center"/>
    </xf>
    <xf numFmtId="2" fontId="0" fillId="26" borderId="0" xfId="0" applyNumberFormat="1" applyFill="1" applyAlignment="1">
      <alignment vertical="center"/>
    </xf>
    <xf numFmtId="0" fontId="0" fillId="26" borderId="0" xfId="0" applyFill="1" applyAlignment="1">
      <alignment vertical="center"/>
    </xf>
    <xf numFmtId="0" fontId="0" fillId="26" borderId="6" xfId="0" applyFill="1" applyBorder="1" applyAlignment="1">
      <alignment vertical="center"/>
    </xf>
    <xf numFmtId="0" fontId="0" fillId="26" borderId="7" xfId="0" applyFill="1" applyBorder="1" applyAlignment="1">
      <alignment horizontal="right" vertical="center" wrapText="1"/>
    </xf>
    <xf numFmtId="1" fontId="0" fillId="26" borderId="8" xfId="0" applyNumberFormat="1" applyFill="1" applyBorder="1" applyAlignment="1">
      <alignment vertical="center"/>
    </xf>
    <xf numFmtId="1" fontId="0" fillId="26" borderId="9" xfId="0" applyNumberFormat="1" applyFill="1" applyBorder="1" applyAlignment="1">
      <alignment vertical="center"/>
    </xf>
    <xf numFmtId="0" fontId="0" fillId="26" borderId="2" xfId="0" applyFill="1" applyBorder="1" applyAlignment="1">
      <alignment horizontal="right"/>
    </xf>
    <xf numFmtId="169" fontId="0" fillId="26" borderId="3" xfId="1" applyNumberFormat="1" applyFont="1" applyFill="1" applyBorder="1"/>
    <xf numFmtId="169" fontId="0" fillId="26" borderId="3" xfId="1" applyNumberFormat="1" applyFont="1" applyFill="1" applyBorder="1" applyAlignment="1"/>
    <xf numFmtId="169" fontId="0" fillId="26" borderId="4" xfId="1" applyNumberFormat="1" applyFont="1" applyFill="1" applyBorder="1" applyAlignment="1"/>
    <xf numFmtId="0" fontId="0" fillId="26" borderId="5" xfId="0" applyFill="1" applyBorder="1" applyAlignment="1">
      <alignment horizontal="right"/>
    </xf>
    <xf numFmtId="169" fontId="0" fillId="26" borderId="0" xfId="1" applyNumberFormat="1" applyFont="1" applyFill="1" applyBorder="1"/>
    <xf numFmtId="169" fontId="0" fillId="26" borderId="0" xfId="1" applyNumberFormat="1" applyFont="1" applyFill="1" applyBorder="1" applyAlignment="1"/>
    <xf numFmtId="169" fontId="0" fillId="26" borderId="6" xfId="1" applyNumberFormat="1" applyFont="1" applyFill="1" applyBorder="1" applyAlignment="1"/>
    <xf numFmtId="9" fontId="0" fillId="26" borderId="0" xfId="1" applyFont="1" applyFill="1" applyBorder="1" applyAlignment="1"/>
    <xf numFmtId="9" fontId="0" fillId="26" borderId="6" xfId="1" applyFont="1" applyFill="1" applyBorder="1" applyAlignment="1"/>
    <xf numFmtId="9" fontId="0" fillId="26" borderId="0" xfId="1" applyFont="1" applyFill="1" applyBorder="1"/>
    <xf numFmtId="169" fontId="0" fillId="26" borderId="6" xfId="1" applyNumberFormat="1" applyFont="1" applyFill="1" applyBorder="1"/>
    <xf numFmtId="169" fontId="0" fillId="26" borderId="0" xfId="1" applyNumberFormat="1" applyFont="1" applyFill="1" applyBorder="1" applyAlignment="1">
      <alignment vertical="center" wrapText="1"/>
    </xf>
    <xf numFmtId="9" fontId="0" fillId="26" borderId="0" xfId="1" applyFont="1" applyFill="1" applyBorder="1" applyAlignment="1">
      <alignment vertical="center" wrapText="1"/>
    </xf>
    <xf numFmtId="9" fontId="0" fillId="26" borderId="6" xfId="1" applyFont="1" applyFill="1" applyBorder="1" applyAlignment="1">
      <alignment vertical="center" wrapText="1"/>
    </xf>
    <xf numFmtId="0" fontId="0" fillId="26" borderId="7" xfId="0" applyFill="1" applyBorder="1" applyAlignment="1">
      <alignment horizontal="right"/>
    </xf>
    <xf numFmtId="169" fontId="0" fillId="26" borderId="8" xfId="1" applyNumberFormat="1" applyFont="1" applyFill="1" applyBorder="1" applyAlignment="1">
      <alignment vertical="center" wrapText="1"/>
    </xf>
    <xf numFmtId="9" fontId="0" fillId="26" borderId="8" xfId="1" applyFont="1" applyFill="1" applyBorder="1" applyAlignment="1">
      <alignment wrapText="1"/>
    </xf>
    <xf numFmtId="9" fontId="0" fillId="26" borderId="9" xfId="1" applyFont="1" applyFill="1" applyBorder="1" applyAlignment="1">
      <alignment wrapText="1"/>
    </xf>
    <xf numFmtId="169" fontId="0" fillId="26" borderId="8" xfId="1" applyNumberFormat="1" applyFont="1" applyFill="1" applyBorder="1"/>
    <xf numFmtId="169" fontId="0" fillId="26" borderId="9" xfId="1" applyNumberFormat="1" applyFont="1" applyFill="1" applyBorder="1"/>
    <xf numFmtId="0" fontId="6" fillId="7" borderId="2" xfId="0" applyFont="1" applyFill="1" applyBorder="1" applyAlignment="1">
      <alignment wrapText="1"/>
    </xf>
    <xf numFmtId="0" fontId="0" fillId="7" borderId="3" xfId="0" applyFill="1" applyBorder="1"/>
    <xf numFmtId="0" fontId="6" fillId="7" borderId="2" xfId="0" applyFont="1" applyFill="1" applyBorder="1"/>
    <xf numFmtId="0" fontId="8" fillId="27" borderId="12" xfId="0" applyFont="1" applyFill="1" applyBorder="1" applyAlignment="1" applyProtection="1">
      <alignment horizontal="center" vertical="center"/>
      <protection locked="0"/>
    </xf>
    <xf numFmtId="165" fontId="0" fillId="3" borderId="14" xfId="2" applyNumberFormat="1" applyFont="1" applyFill="1" applyBorder="1" applyProtection="1">
      <protection locked="0"/>
    </xf>
    <xf numFmtId="0" fontId="9" fillId="0" borderId="0" xfId="0" applyFont="1" applyAlignment="1">
      <alignment wrapText="1"/>
    </xf>
    <xf numFmtId="1" fontId="0" fillId="16" borderId="14" xfId="0" applyNumberFormat="1" applyFill="1" applyBorder="1" applyAlignment="1" applyProtection="1">
      <alignment vertical="center"/>
      <protection locked="0"/>
    </xf>
    <xf numFmtId="0" fontId="2" fillId="3" borderId="33" xfId="0" applyFont="1" applyFill="1" applyBorder="1" applyAlignment="1" applyProtection="1">
      <alignment horizontal="right" vertical="center"/>
      <protection locked="0"/>
    </xf>
    <xf numFmtId="1" fontId="2" fillId="0" borderId="1" xfId="0" applyNumberFormat="1" applyFont="1" applyBorder="1" applyAlignment="1" applyProtection="1">
      <alignment horizontal="right" vertical="center"/>
      <protection locked="0"/>
    </xf>
    <xf numFmtId="169" fontId="0" fillId="16" borderId="0" xfId="1" applyNumberFormat="1" applyFont="1" applyFill="1" applyBorder="1" applyAlignment="1" applyProtection="1"/>
    <xf numFmtId="169" fontId="0" fillId="16" borderId="8" xfId="1" applyNumberFormat="1" applyFont="1" applyFill="1" applyBorder="1" applyAlignment="1" applyProtection="1"/>
    <xf numFmtId="178" fontId="0" fillId="16" borderId="8" xfId="0" applyNumberFormat="1" applyFill="1" applyBorder="1"/>
    <xf numFmtId="178" fontId="0" fillId="16" borderId="9" xfId="0" applyNumberFormat="1" applyFill="1" applyBorder="1"/>
    <xf numFmtId="178" fontId="9" fillId="16" borderId="8" xfId="0" applyNumberFormat="1" applyFont="1" applyFill="1" applyBorder="1"/>
    <xf numFmtId="178" fontId="9" fillId="16" borderId="9" xfId="0" applyNumberFormat="1" applyFont="1" applyFill="1" applyBorder="1"/>
    <xf numFmtId="0" fontId="0" fillId="3" borderId="0" xfId="0" applyFill="1" applyProtection="1"/>
    <xf numFmtId="0" fontId="0" fillId="3" borderId="0" xfId="0" applyFill="1" applyAlignment="1" applyProtection="1">
      <alignment horizontal="left"/>
    </xf>
    <xf numFmtId="0" fontId="0" fillId="0" borderId="0" xfId="0" applyProtection="1"/>
    <xf numFmtId="14" fontId="20" fillId="3" borderId="8" xfId="0" applyNumberFormat="1" applyFont="1" applyFill="1" applyBorder="1" applyAlignment="1" applyProtection="1">
      <alignment horizontal="left" vertical="center" wrapText="1"/>
    </xf>
    <xf numFmtId="0" fontId="20" fillId="3" borderId="8" xfId="0" applyFont="1" applyFill="1" applyBorder="1" applyAlignment="1" applyProtection="1">
      <alignment horizontal="left" vertical="center" wrapText="1"/>
    </xf>
    <xf numFmtId="0" fontId="0" fillId="3" borderId="5" xfId="0" applyFill="1" applyBorder="1" applyProtection="1"/>
    <xf numFmtId="0" fontId="2" fillId="3" borderId="6" xfId="0" applyFont="1" applyFill="1" applyBorder="1" applyAlignment="1" applyProtection="1">
      <alignment horizontal="left" vertical="top" wrapText="1"/>
    </xf>
    <xf numFmtId="49" fontId="4" fillId="3" borderId="6" xfId="0" applyNumberFormat="1" applyFont="1" applyFill="1" applyBorder="1" applyAlignment="1" applyProtection="1">
      <alignment horizontal="left" vertical="top" wrapText="1"/>
    </xf>
    <xf numFmtId="0" fontId="2" fillId="3" borderId="6" xfId="0" applyFont="1" applyFill="1" applyBorder="1" applyAlignment="1" applyProtection="1">
      <alignment vertical="top" wrapText="1"/>
    </xf>
    <xf numFmtId="0" fontId="2" fillId="3" borderId="9" xfId="0" applyFont="1" applyFill="1" applyBorder="1" applyAlignment="1" applyProtection="1">
      <alignment horizontal="left" vertical="center" wrapText="1"/>
    </xf>
    <xf numFmtId="0" fontId="55" fillId="3" borderId="48" xfId="0" applyFont="1" applyFill="1" applyBorder="1" applyAlignment="1" applyProtection="1">
      <alignment horizontal="center" vertical="center" wrapText="1"/>
      <protection locked="0"/>
    </xf>
    <xf numFmtId="0" fontId="2" fillId="3" borderId="41" xfId="0" applyFont="1" applyFill="1" applyBorder="1" applyAlignment="1" applyProtection="1">
      <alignment horizontal="center" vertical="center"/>
      <protection locked="0"/>
    </xf>
    <xf numFmtId="0" fontId="10" fillId="16" borderId="3" xfId="0" applyFont="1" applyFill="1" applyBorder="1" applyAlignment="1" applyProtection="1">
      <alignment horizontal="center" vertical="center"/>
    </xf>
    <xf numFmtId="0" fontId="26" fillId="16" borderId="4" xfId="0" applyFont="1" applyFill="1" applyBorder="1" applyAlignment="1" applyProtection="1">
      <alignment horizontal="center" vertical="center"/>
    </xf>
    <xf numFmtId="0" fontId="10" fillId="16" borderId="0" xfId="0" applyFont="1" applyFill="1" applyAlignment="1" applyProtection="1">
      <alignment horizontal="center" vertical="center"/>
    </xf>
    <xf numFmtId="0" fontId="15" fillId="16" borderId="6" xfId="0" applyFont="1" applyFill="1" applyBorder="1" applyProtection="1"/>
    <xf numFmtId="4" fontId="2" fillId="16" borderId="0" xfId="0" applyNumberFormat="1" applyFont="1" applyFill="1" applyAlignment="1" applyProtection="1">
      <alignment vertical="center"/>
    </xf>
    <xf numFmtId="0" fontId="10" fillId="16" borderId="0" xfId="0" applyFont="1" applyFill="1" applyAlignment="1" applyProtection="1">
      <alignment horizontal="left" vertical="center" wrapText="1"/>
    </xf>
    <xf numFmtId="0" fontId="15" fillId="16" borderId="6" xfId="0" applyFont="1" applyFill="1" applyBorder="1" applyAlignment="1" applyProtection="1">
      <alignment horizontal="center" vertical="center"/>
    </xf>
    <xf numFmtId="0" fontId="2" fillId="16" borderId="0" xfId="0" applyFont="1" applyFill="1" applyAlignment="1" applyProtection="1">
      <alignment horizontal="right" vertical="center"/>
    </xf>
    <xf numFmtId="0" fontId="15" fillId="16" borderId="5" xfId="0" applyFont="1" applyFill="1" applyBorder="1" applyAlignment="1" applyProtection="1">
      <alignment horizontal="right" vertical="center"/>
    </xf>
    <xf numFmtId="0" fontId="15" fillId="16" borderId="0" xfId="0" applyFont="1" applyFill="1" applyAlignment="1" applyProtection="1">
      <alignment horizontal="right" vertical="center"/>
    </xf>
    <xf numFmtId="0" fontId="15" fillId="16" borderId="0" xfId="0" applyFont="1" applyFill="1" applyAlignment="1" applyProtection="1">
      <alignment horizontal="center" vertical="center"/>
    </xf>
    <xf numFmtId="0" fontId="15" fillId="16" borderId="0" xfId="0" applyFont="1" applyFill="1" applyAlignment="1" applyProtection="1">
      <alignment vertical="center"/>
    </xf>
    <xf numFmtId="0" fontId="56" fillId="16" borderId="0" xfId="0" applyFont="1" applyFill="1" applyAlignment="1" applyProtection="1">
      <alignment horizontal="center" vertical="center" wrapText="1"/>
    </xf>
    <xf numFmtId="1" fontId="0" fillId="3" borderId="0" xfId="0" applyNumberFormat="1" applyFill="1" applyProtection="1"/>
    <xf numFmtId="0" fontId="2" fillId="16" borderId="8" xfId="0" applyFont="1" applyFill="1" applyBorder="1" applyAlignment="1" applyProtection="1">
      <alignment horizontal="right" vertical="center"/>
    </xf>
    <xf numFmtId="0" fontId="15" fillId="16" borderId="9" xfId="0" applyFont="1" applyFill="1" applyBorder="1" applyAlignment="1" applyProtection="1">
      <alignment horizontal="center" vertical="center"/>
    </xf>
    <xf numFmtId="0" fontId="56" fillId="6" borderId="2" xfId="0" applyFont="1" applyFill="1" applyBorder="1" applyProtection="1"/>
    <xf numFmtId="0" fontId="56" fillId="6" borderId="5" xfId="0" applyFont="1" applyFill="1" applyBorder="1" applyProtection="1"/>
    <xf numFmtId="0" fontId="56" fillId="6" borderId="0" xfId="0" applyFont="1" applyFill="1" applyAlignment="1" applyProtection="1">
      <alignment horizontal="center"/>
    </xf>
    <xf numFmtId="0" fontId="56" fillId="6" borderId="6" xfId="0" applyFont="1" applyFill="1" applyBorder="1" applyAlignment="1" applyProtection="1">
      <alignment horizontal="center"/>
    </xf>
    <xf numFmtId="0" fontId="56" fillId="6" borderId="5" xfId="0" applyFont="1" applyFill="1" applyBorder="1" applyAlignment="1" applyProtection="1">
      <alignment horizontal="right"/>
    </xf>
    <xf numFmtId="0" fontId="56" fillId="6" borderId="7" xfId="0" applyFont="1" applyFill="1" applyBorder="1" applyAlignment="1" applyProtection="1">
      <alignment horizontal="right"/>
    </xf>
    <xf numFmtId="0" fontId="57" fillId="3" borderId="0" xfId="0" applyFont="1" applyFill="1" applyAlignment="1" applyProtection="1">
      <alignment horizontal="left" vertical="center" wrapText="1" indent="5"/>
    </xf>
    <xf numFmtId="4" fontId="2" fillId="0" borderId="1" xfId="0" applyNumberFormat="1" applyFont="1" applyBorder="1" applyAlignment="1" applyProtection="1">
      <alignment vertical="center"/>
      <protection locked="0"/>
    </xf>
    <xf numFmtId="0" fontId="15" fillId="3" borderId="1" xfId="0" applyFont="1" applyFill="1" applyBorder="1" applyProtection="1">
      <protection locked="0"/>
    </xf>
    <xf numFmtId="0" fontId="15" fillId="3" borderId="49" xfId="0" applyFont="1" applyFill="1" applyBorder="1" applyProtection="1">
      <protection locked="0"/>
    </xf>
    <xf numFmtId="0" fontId="15" fillId="3" borderId="13" xfId="0" applyFont="1" applyFill="1" applyBorder="1" applyProtection="1">
      <protection locked="0"/>
    </xf>
    <xf numFmtId="0" fontId="15" fillId="3" borderId="41" xfId="0" applyFont="1" applyFill="1" applyBorder="1" applyProtection="1">
      <protection locked="0"/>
    </xf>
    <xf numFmtId="0" fontId="9" fillId="3" borderId="0" xfId="0" applyFont="1" applyFill="1" applyProtection="1"/>
    <xf numFmtId="0" fontId="25" fillId="3" borderId="0" xfId="0" applyFont="1" applyFill="1" applyAlignment="1" applyProtection="1">
      <alignment horizontal="right" vertical="center"/>
    </xf>
    <xf numFmtId="0" fontId="14" fillId="3" borderId="0" xfId="0" applyFont="1" applyFill="1" applyAlignment="1" applyProtection="1">
      <alignment horizontal="center" vertical="center"/>
    </xf>
    <xf numFmtId="0" fontId="12" fillId="3" borderId="0" xfId="0" applyFont="1" applyFill="1" applyAlignment="1" applyProtection="1">
      <alignment horizontal="center" vertical="center"/>
    </xf>
    <xf numFmtId="0" fontId="12" fillId="3" borderId="0" xfId="0" applyFont="1" applyFill="1" applyAlignment="1" applyProtection="1">
      <alignment horizontal="left" vertical="center"/>
    </xf>
    <xf numFmtId="0" fontId="32" fillId="12" borderId="2" xfId="0" applyFont="1" applyFill="1" applyBorder="1" applyAlignment="1" applyProtection="1">
      <alignment vertical="center"/>
    </xf>
    <xf numFmtId="0" fontId="0" fillId="12" borderId="3" xfId="0" applyFill="1" applyBorder="1" applyAlignment="1" applyProtection="1">
      <alignment vertical="center" wrapText="1"/>
    </xf>
    <xf numFmtId="0" fontId="0" fillId="12" borderId="3" xfId="0" applyFill="1" applyBorder="1" applyAlignment="1" applyProtection="1">
      <alignment horizontal="left" vertical="center" wrapText="1"/>
    </xf>
    <xf numFmtId="165" fontId="0" fillId="12" borderId="3" xfId="0" applyNumberFormat="1" applyFill="1" applyBorder="1" applyAlignment="1" applyProtection="1">
      <alignment vertical="center" wrapText="1"/>
    </xf>
    <xf numFmtId="0" fontId="22" fillId="12" borderId="3" xfId="0" applyFont="1" applyFill="1" applyBorder="1" applyAlignment="1" applyProtection="1">
      <alignment vertical="center" wrapText="1"/>
    </xf>
    <xf numFmtId="165" fontId="0" fillId="12" borderId="18" xfId="0" applyNumberFormat="1" applyFill="1" applyBorder="1" applyAlignment="1" applyProtection="1">
      <alignment vertical="center" wrapText="1"/>
    </xf>
    <xf numFmtId="165" fontId="0" fillId="3" borderId="0" xfId="0" applyNumberFormat="1" applyFill="1" applyAlignment="1" applyProtection="1">
      <alignment vertical="center"/>
    </xf>
    <xf numFmtId="0" fontId="0" fillId="4" borderId="0" xfId="0" applyFill="1" applyProtection="1"/>
    <xf numFmtId="0" fontId="5" fillId="11" borderId="5" xfId="0" applyFont="1" applyFill="1" applyBorder="1" applyAlignment="1" applyProtection="1">
      <alignment horizontal="left"/>
    </xf>
    <xf numFmtId="0" fontId="0" fillId="11" borderId="0" xfId="0" applyFill="1" applyAlignment="1" applyProtection="1">
      <alignment horizontal="center"/>
    </xf>
    <xf numFmtId="165" fontId="0" fillId="11" borderId="0" xfId="0" applyNumberFormat="1" applyFill="1" applyAlignment="1" applyProtection="1">
      <alignment horizontal="center"/>
    </xf>
    <xf numFmtId="0" fontId="0" fillId="11" borderId="0" xfId="0" applyFill="1" applyProtection="1"/>
    <xf numFmtId="165" fontId="0" fillId="11" borderId="27" xfId="0" applyNumberFormat="1" applyFill="1" applyBorder="1" applyProtection="1"/>
    <xf numFmtId="165" fontId="0" fillId="3" borderId="0" xfId="0" applyNumberFormat="1" applyFill="1" applyProtection="1"/>
    <xf numFmtId="0" fontId="0" fillId="7" borderId="0" xfId="0" applyFill="1" applyProtection="1"/>
    <xf numFmtId="165" fontId="0" fillId="7" borderId="27" xfId="0" applyNumberFormat="1" applyFill="1" applyBorder="1" applyProtection="1"/>
    <xf numFmtId="0" fontId="5" fillId="11" borderId="5" xfId="0" applyFont="1" applyFill="1" applyBorder="1" applyProtection="1"/>
    <xf numFmtId="165" fontId="0" fillId="11" borderId="0" xfId="0" applyNumberFormat="1" applyFill="1" applyProtection="1"/>
    <xf numFmtId="0" fontId="0" fillId="7" borderId="8" xfId="0" applyFill="1" applyBorder="1" applyProtection="1"/>
    <xf numFmtId="0" fontId="31" fillId="12" borderId="2" xfId="0" applyFont="1" applyFill="1" applyBorder="1" applyAlignment="1" applyProtection="1">
      <alignment horizontal="left" vertical="center" wrapText="1"/>
    </xf>
    <xf numFmtId="0" fontId="9" fillId="12" borderId="3" xfId="0" applyFont="1" applyFill="1" applyBorder="1" applyAlignment="1" applyProtection="1">
      <alignment horizontal="left" vertical="center"/>
    </xf>
    <xf numFmtId="0" fontId="9" fillId="12" borderId="3" xfId="0" applyFont="1" applyFill="1" applyBorder="1" applyAlignment="1" applyProtection="1">
      <alignment horizontal="left" vertical="center" wrapText="1"/>
    </xf>
    <xf numFmtId="165" fontId="9" fillId="12" borderId="3" xfId="0" applyNumberFormat="1" applyFont="1" applyFill="1" applyBorder="1" applyAlignment="1" applyProtection="1">
      <alignment horizontal="left" vertical="center" wrapText="1"/>
    </xf>
    <xf numFmtId="0" fontId="9" fillId="12" borderId="3" xfId="0" applyFont="1" applyFill="1" applyBorder="1" applyAlignment="1" applyProtection="1">
      <alignment vertical="center"/>
    </xf>
    <xf numFmtId="165" fontId="22" fillId="12" borderId="24" xfId="0" applyNumberFormat="1" applyFont="1" applyFill="1" applyBorder="1" applyAlignment="1" applyProtection="1">
      <alignment horizontal="left" vertical="center"/>
    </xf>
    <xf numFmtId="165" fontId="22" fillId="3" borderId="0" xfId="0" applyNumberFormat="1" applyFont="1" applyFill="1" applyAlignment="1" applyProtection="1">
      <alignment horizontal="left" vertical="center"/>
    </xf>
    <xf numFmtId="0" fontId="9" fillId="11" borderId="0" xfId="0" applyFont="1" applyFill="1" applyProtection="1"/>
    <xf numFmtId="165" fontId="9" fillId="11" borderId="0" xfId="0" applyNumberFormat="1" applyFont="1" applyFill="1" applyProtection="1"/>
    <xf numFmtId="164" fontId="0" fillId="7" borderId="17" xfId="0" applyNumberFormat="1" applyFill="1" applyBorder="1" applyProtection="1"/>
    <xf numFmtId="164" fontId="0" fillId="7" borderId="39" xfId="0" applyNumberFormat="1" applyFill="1" applyBorder="1" applyProtection="1"/>
    <xf numFmtId="165" fontId="0" fillId="7" borderId="15" xfId="0" applyNumberFormat="1" applyFill="1" applyBorder="1" applyProtection="1"/>
    <xf numFmtId="0" fontId="32" fillId="12" borderId="2" xfId="0" applyFont="1" applyFill="1" applyBorder="1" applyAlignment="1" applyProtection="1">
      <alignment horizontal="left" vertical="center" wrapText="1"/>
    </xf>
    <xf numFmtId="0" fontId="9" fillId="12" borderId="3" xfId="0" applyFont="1" applyFill="1" applyBorder="1" applyAlignment="1" applyProtection="1">
      <alignment vertical="center" wrapText="1"/>
    </xf>
    <xf numFmtId="0" fontId="9" fillId="11" borderId="6" xfId="0" applyFont="1" applyFill="1" applyBorder="1" applyProtection="1"/>
    <xf numFmtId="0" fontId="9" fillId="12" borderId="3" xfId="0" applyFont="1" applyFill="1" applyBorder="1" applyProtection="1"/>
    <xf numFmtId="0" fontId="9" fillId="12" borderId="3" xfId="0" applyFont="1" applyFill="1" applyBorder="1" applyAlignment="1" applyProtection="1">
      <alignment wrapText="1"/>
    </xf>
    <xf numFmtId="165" fontId="22" fillId="12" borderId="24" xfId="0" applyNumberFormat="1" applyFont="1" applyFill="1" applyBorder="1" applyProtection="1"/>
    <xf numFmtId="165" fontId="22" fillId="3" borderId="0" xfId="0" applyNumberFormat="1" applyFont="1" applyFill="1" applyProtection="1"/>
    <xf numFmtId="165" fontId="9" fillId="12" borderId="3" xfId="0" applyNumberFormat="1" applyFont="1" applyFill="1" applyBorder="1" applyAlignment="1" applyProtection="1">
      <alignment vertical="center" wrapText="1"/>
    </xf>
    <xf numFmtId="0" fontId="22" fillId="12" borderId="3" xfId="0" applyFont="1" applyFill="1" applyBorder="1" applyAlignment="1" applyProtection="1">
      <alignment wrapText="1"/>
    </xf>
    <xf numFmtId="0" fontId="22" fillId="12" borderId="3" xfId="0" applyFont="1" applyFill="1" applyBorder="1" applyProtection="1"/>
    <xf numFmtId="0" fontId="22" fillId="12" borderId="4" xfId="0" applyFont="1" applyFill="1" applyBorder="1" applyProtection="1"/>
    <xf numFmtId="0" fontId="11" fillId="11" borderId="5" xfId="0" applyFont="1" applyFill="1" applyBorder="1" applyAlignment="1" applyProtection="1">
      <alignment horizontal="left"/>
    </xf>
    <xf numFmtId="9" fontId="0" fillId="7" borderId="0" xfId="0" applyNumberFormat="1" applyFill="1" applyProtection="1"/>
    <xf numFmtId="168" fontId="0" fillId="7" borderId="6" xfId="0" applyNumberFormat="1" applyFill="1" applyBorder="1" applyProtection="1"/>
    <xf numFmtId="0" fontId="0" fillId="11" borderId="6" xfId="0" applyFill="1" applyBorder="1" applyProtection="1"/>
    <xf numFmtId="9" fontId="0" fillId="7" borderId="8" xfId="0" applyNumberFormat="1" applyFill="1" applyBorder="1" applyProtection="1"/>
    <xf numFmtId="168" fontId="0" fillId="7" borderId="9" xfId="0" applyNumberFormat="1" applyFill="1" applyBorder="1" applyProtection="1"/>
    <xf numFmtId="0" fontId="5" fillId="3" borderId="0" xfId="0" applyFont="1" applyFill="1" applyAlignment="1" applyProtection="1">
      <alignment vertical="center"/>
    </xf>
    <xf numFmtId="0" fontId="9" fillId="3" borderId="0" xfId="0" applyFont="1" applyFill="1" applyAlignment="1" applyProtection="1">
      <alignment horizontal="right"/>
    </xf>
    <xf numFmtId="9" fontId="0" fillId="3" borderId="0" xfId="0" applyNumberFormat="1" applyFill="1" applyProtection="1"/>
    <xf numFmtId="165" fontId="0" fillId="3" borderId="0" xfId="2" applyNumberFormat="1" applyFont="1" applyFill="1" applyBorder="1" applyProtection="1"/>
    <xf numFmtId="168" fontId="0" fillId="3" borderId="0" xfId="0" applyNumberFormat="1" applyFill="1" applyProtection="1"/>
    <xf numFmtId="0" fontId="0" fillId="0" borderId="0" xfId="0" applyAlignment="1" applyProtection="1">
      <alignment wrapText="1"/>
    </xf>
    <xf numFmtId="0" fontId="33" fillId="10" borderId="2" xfId="0" applyFont="1" applyFill="1" applyBorder="1" applyAlignment="1" applyProtection="1">
      <alignment vertical="center"/>
    </xf>
    <xf numFmtId="0" fontId="0" fillId="10" borderId="3" xfId="0" applyFill="1" applyBorder="1" applyAlignment="1" applyProtection="1">
      <alignment vertical="center" wrapText="1"/>
    </xf>
    <xf numFmtId="165" fontId="0" fillId="10" borderId="3" xfId="0" applyNumberFormat="1" applyFill="1" applyBorder="1" applyAlignment="1" applyProtection="1">
      <alignment vertical="center" wrapText="1"/>
    </xf>
    <xf numFmtId="0" fontId="24" fillId="10" borderId="3" xfId="0" applyFont="1" applyFill="1" applyBorder="1" applyAlignment="1" applyProtection="1">
      <alignment vertical="center" wrapText="1"/>
    </xf>
    <xf numFmtId="165" fontId="0" fillId="10" borderId="18" xfId="0" applyNumberFormat="1" applyFill="1" applyBorder="1" applyAlignment="1" applyProtection="1">
      <alignment vertical="center" wrapText="1"/>
    </xf>
    <xf numFmtId="0" fontId="0" fillId="7" borderId="0" xfId="0" applyFill="1" applyAlignment="1" applyProtection="1">
      <alignment horizontal="center" vertical="center"/>
    </xf>
    <xf numFmtId="0" fontId="0" fillId="7" borderId="0" xfId="0" applyFill="1" applyAlignment="1" applyProtection="1">
      <alignment horizontal="center"/>
    </xf>
    <xf numFmtId="0" fontId="0" fillId="10" borderId="3" xfId="0" applyFill="1" applyBorder="1" applyProtection="1"/>
    <xf numFmtId="165" fontId="0" fillId="10" borderId="3" xfId="0" applyNumberFormat="1" applyFill="1" applyBorder="1" applyAlignment="1" applyProtection="1">
      <alignment wrapText="1"/>
    </xf>
    <xf numFmtId="0" fontId="0" fillId="10" borderId="3" xfId="0" applyFill="1" applyBorder="1" applyAlignment="1" applyProtection="1">
      <alignment wrapText="1"/>
    </xf>
    <xf numFmtId="165" fontId="24" fillId="10" borderId="24" xfId="0" applyNumberFormat="1" applyFont="1" applyFill="1" applyBorder="1" applyProtection="1"/>
    <xf numFmtId="165" fontId="24" fillId="3" borderId="0" xfId="0" applyNumberFormat="1" applyFont="1" applyFill="1" applyProtection="1"/>
    <xf numFmtId="165" fontId="9" fillId="7" borderId="27" xfId="0" applyNumberFormat="1" applyFont="1" applyFill="1" applyBorder="1" applyProtection="1"/>
    <xf numFmtId="165" fontId="9" fillId="3" borderId="0" xfId="0" applyNumberFormat="1" applyFont="1" applyFill="1" applyProtection="1"/>
    <xf numFmtId="165" fontId="9" fillId="7" borderId="15" xfId="0" applyNumberFormat="1" applyFont="1" applyFill="1" applyBorder="1" applyProtection="1"/>
    <xf numFmtId="0" fontId="24" fillId="10" borderId="3" xfId="0" applyFont="1" applyFill="1" applyBorder="1" applyProtection="1"/>
    <xf numFmtId="0" fontId="24" fillId="10" borderId="4" xfId="0" applyFont="1" applyFill="1" applyBorder="1" applyProtection="1"/>
    <xf numFmtId="165" fontId="24" fillId="10" borderId="4" xfId="0" applyNumberFormat="1" applyFont="1" applyFill="1" applyBorder="1" applyProtection="1"/>
    <xf numFmtId="0" fontId="35" fillId="13" borderId="2" xfId="0" applyFont="1" applyFill="1" applyBorder="1" applyAlignment="1" applyProtection="1">
      <alignment vertical="center"/>
    </xf>
    <xf numFmtId="0" fontId="0" fillId="13" borderId="3" xfId="0" applyFill="1" applyBorder="1" applyAlignment="1" applyProtection="1">
      <alignment vertical="center" wrapText="1"/>
    </xf>
    <xf numFmtId="165" fontId="0" fillId="13" borderId="3" xfId="0" applyNumberFormat="1" applyFill="1" applyBorder="1" applyAlignment="1" applyProtection="1">
      <alignment vertical="center" wrapText="1"/>
    </xf>
    <xf numFmtId="0" fontId="23" fillId="13" borderId="3" xfId="0" applyFont="1" applyFill="1" applyBorder="1" applyAlignment="1" applyProtection="1">
      <alignment vertical="center" wrapText="1"/>
    </xf>
    <xf numFmtId="165" fontId="0" fillId="13" borderId="18" xfId="0" applyNumberFormat="1" applyFill="1" applyBorder="1" applyAlignment="1" applyProtection="1">
      <alignment vertical="center" wrapText="1"/>
    </xf>
    <xf numFmtId="0" fontId="0" fillId="13" borderId="3" xfId="0" applyFill="1" applyBorder="1" applyProtection="1"/>
    <xf numFmtId="165" fontId="0" fillId="13" borderId="3" xfId="0" applyNumberFormat="1" applyFill="1" applyBorder="1" applyAlignment="1" applyProtection="1">
      <alignment wrapText="1"/>
    </xf>
    <xf numFmtId="0" fontId="0" fillId="13" borderId="3" xfId="0" applyFill="1" applyBorder="1" applyAlignment="1" applyProtection="1">
      <alignment wrapText="1"/>
    </xf>
    <xf numFmtId="165" fontId="23" fillId="13" borderId="24" xfId="0" applyNumberFormat="1" applyFont="1" applyFill="1" applyBorder="1" applyProtection="1"/>
    <xf numFmtId="165" fontId="23" fillId="3" borderId="0" xfId="0" applyNumberFormat="1" applyFont="1" applyFill="1" applyProtection="1"/>
    <xf numFmtId="0" fontId="35" fillId="13" borderId="5" xfId="0" applyFont="1" applyFill="1" applyBorder="1" applyAlignment="1" applyProtection="1">
      <alignment vertical="center"/>
    </xf>
    <xf numFmtId="0" fontId="0" fillId="13" borderId="0" xfId="0" applyFill="1" applyProtection="1"/>
    <xf numFmtId="0" fontId="0" fillId="13" borderId="0" xfId="0" applyFill="1" applyAlignment="1" applyProtection="1">
      <alignment vertical="center" wrapText="1"/>
    </xf>
    <xf numFmtId="165" fontId="0" fillId="13" borderId="0" xfId="0" applyNumberFormat="1" applyFill="1" applyAlignment="1" applyProtection="1">
      <alignment wrapText="1"/>
    </xf>
    <xf numFmtId="0" fontId="0" fillId="13" borderId="0" xfId="0" applyFill="1" applyAlignment="1" applyProtection="1">
      <alignment wrapText="1"/>
    </xf>
    <xf numFmtId="165" fontId="23" fillId="13" borderId="27" xfId="0" applyNumberFormat="1" applyFont="1" applyFill="1" applyBorder="1" applyProtection="1"/>
    <xf numFmtId="0" fontId="23" fillId="13" borderId="3" xfId="0" applyFont="1" applyFill="1" applyBorder="1" applyProtection="1"/>
    <xf numFmtId="0" fontId="23" fillId="13" borderId="4" xfId="0" applyFont="1" applyFill="1" applyBorder="1" applyProtection="1"/>
    <xf numFmtId="0" fontId="0" fillId="2" borderId="10" xfId="0" applyFill="1" applyBorder="1" applyAlignment="1" applyProtection="1">
      <alignment vertical="center" wrapText="1"/>
    </xf>
    <xf numFmtId="0" fontId="13" fillId="8" borderId="10" xfId="0" applyFont="1" applyFill="1" applyBorder="1" applyAlignment="1" applyProtection="1">
      <alignment horizontal="left" vertical="center" wrapText="1"/>
    </xf>
    <xf numFmtId="0" fontId="0" fillId="2" borderId="11" xfId="0" applyFill="1" applyBorder="1" applyProtection="1"/>
    <xf numFmtId="165" fontId="0" fillId="2" borderId="12" xfId="0" applyNumberFormat="1" applyFill="1" applyBorder="1" applyProtection="1"/>
    <xf numFmtId="0" fontId="36" fillId="3" borderId="0" xfId="0" applyFont="1" applyFill="1" applyAlignment="1" applyProtection="1">
      <alignment vertical="center" textRotation="90" wrapText="1"/>
    </xf>
    <xf numFmtId="0" fontId="34" fillId="8" borderId="2" xfId="0" applyFont="1" applyFill="1" applyBorder="1" applyAlignment="1" applyProtection="1">
      <alignment vertical="center"/>
    </xf>
    <xf numFmtId="0" fontId="0" fillId="8" borderId="3" xfId="0" applyFill="1" applyBorder="1" applyAlignment="1" applyProtection="1">
      <alignment vertical="center" wrapText="1"/>
    </xf>
    <xf numFmtId="165" fontId="0" fillId="8" borderId="3" xfId="0" applyNumberFormat="1" applyFill="1" applyBorder="1" applyAlignment="1" applyProtection="1">
      <alignment vertical="center" wrapText="1"/>
    </xf>
    <xf numFmtId="0" fontId="21" fillId="8" borderId="3" xfId="0" applyFont="1" applyFill="1" applyBorder="1" applyAlignment="1" applyProtection="1">
      <alignment vertical="center" wrapText="1"/>
    </xf>
    <xf numFmtId="165" fontId="0" fillId="8" borderId="18" xfId="0" applyNumberFormat="1" applyFill="1" applyBorder="1" applyAlignment="1" applyProtection="1">
      <alignment vertical="center" wrapText="1"/>
    </xf>
    <xf numFmtId="0" fontId="0" fillId="8" borderId="3" xfId="0" applyFill="1" applyBorder="1" applyProtection="1"/>
    <xf numFmtId="165" fontId="0" fillId="8" borderId="3" xfId="0" applyNumberFormat="1" applyFill="1" applyBorder="1" applyAlignment="1" applyProtection="1">
      <alignment wrapText="1"/>
    </xf>
    <xf numFmtId="0" fontId="0" fillId="8" borderId="3" xfId="0" applyFill="1" applyBorder="1" applyAlignment="1" applyProtection="1">
      <alignment wrapText="1"/>
    </xf>
    <xf numFmtId="165" fontId="21" fillId="8" borderId="24" xfId="0" applyNumberFormat="1" applyFont="1" applyFill="1" applyBorder="1" applyProtection="1"/>
    <xf numFmtId="165" fontId="21" fillId="3" borderId="0" xfId="0" applyNumberFormat="1" applyFont="1" applyFill="1" applyProtection="1"/>
    <xf numFmtId="0" fontId="34" fillId="8" borderId="5" xfId="0" applyFont="1" applyFill="1" applyBorder="1" applyAlignment="1" applyProtection="1">
      <alignment vertical="center"/>
    </xf>
    <xf numFmtId="0" fontId="0" fillId="8" borderId="0" xfId="0" applyFill="1" applyProtection="1"/>
    <xf numFmtId="0" fontId="0" fillId="8" borderId="0" xfId="0" applyFill="1" applyAlignment="1" applyProtection="1">
      <alignment vertical="center" wrapText="1"/>
    </xf>
    <xf numFmtId="165" fontId="0" fillId="8" borderId="0" xfId="0" applyNumberFormat="1" applyFill="1" applyAlignment="1" applyProtection="1">
      <alignment wrapText="1"/>
    </xf>
    <xf numFmtId="0" fontId="0" fillId="8" borderId="0" xfId="0" applyFill="1" applyAlignment="1" applyProtection="1">
      <alignment wrapText="1"/>
    </xf>
    <xf numFmtId="165" fontId="21" fillId="8" borderId="27" xfId="0" applyNumberFormat="1" applyFont="1" applyFill="1" applyBorder="1" applyProtection="1"/>
    <xf numFmtId="0" fontId="21" fillId="8" borderId="3" xfId="0" applyFont="1" applyFill="1" applyBorder="1" applyProtection="1"/>
    <xf numFmtId="0" fontId="21" fillId="8" borderId="4" xfId="0" applyFont="1" applyFill="1" applyBorder="1" applyProtection="1"/>
    <xf numFmtId="0" fontId="0" fillId="3" borderId="2" xfId="0" applyFill="1" applyBorder="1" applyProtection="1"/>
    <xf numFmtId="0" fontId="0" fillId="3" borderId="4" xfId="0" applyFill="1" applyBorder="1" applyAlignment="1" applyProtection="1">
      <alignment horizontal="center"/>
    </xf>
    <xf numFmtId="0" fontId="0" fillId="3" borderId="0" xfId="0" applyFill="1" applyAlignment="1" applyProtection="1">
      <alignment horizontal="center"/>
    </xf>
    <xf numFmtId="0" fontId="5" fillId="3" borderId="0" xfId="0" applyFont="1" applyFill="1" applyAlignment="1" applyProtection="1">
      <alignment horizontal="right"/>
    </xf>
    <xf numFmtId="2" fontId="0" fillId="3" borderId="0" xfId="0" applyNumberFormat="1" applyFill="1" applyProtection="1"/>
    <xf numFmtId="0" fontId="0" fillId="3" borderId="7" xfId="0" applyFill="1" applyBorder="1" applyProtection="1"/>
    <xf numFmtId="0" fontId="5" fillId="3" borderId="8" xfId="0" applyFont="1" applyFill="1" applyBorder="1" applyAlignment="1" applyProtection="1">
      <alignment horizontal="right"/>
    </xf>
    <xf numFmtId="2" fontId="0" fillId="3" borderId="8" xfId="0" applyNumberFormat="1" applyFill="1" applyBorder="1" applyProtection="1"/>
    <xf numFmtId="165" fontId="0" fillId="0" borderId="0" xfId="0" applyNumberFormat="1" applyProtection="1"/>
    <xf numFmtId="0" fontId="20" fillId="3" borderId="0" xfId="0" applyFont="1" applyFill="1" applyProtection="1"/>
    <xf numFmtId="0" fontId="5" fillId="16" borderId="2" xfId="0" applyFont="1" applyFill="1" applyBorder="1" applyAlignment="1" applyProtection="1">
      <alignment vertical="center"/>
    </xf>
    <xf numFmtId="0" fontId="5" fillId="16" borderId="3" xfId="0" applyFont="1" applyFill="1" applyBorder="1" applyAlignment="1" applyProtection="1">
      <alignment vertical="center"/>
    </xf>
    <xf numFmtId="0" fontId="5" fillId="16" borderId="3" xfId="0" applyFont="1" applyFill="1" applyBorder="1" applyAlignment="1" applyProtection="1">
      <alignment horizontal="left" vertical="center" wrapText="1"/>
    </xf>
    <xf numFmtId="0" fontId="5" fillId="16" borderId="4" xfId="0" applyFont="1" applyFill="1" applyBorder="1" applyAlignment="1" applyProtection="1">
      <alignment vertical="center" wrapText="1"/>
    </xf>
    <xf numFmtId="0" fontId="37" fillId="3" borderId="0" xfId="0" applyFont="1" applyFill="1" applyProtection="1"/>
    <xf numFmtId="0" fontId="0" fillId="26" borderId="0" xfId="0" applyFill="1" applyProtection="1"/>
    <xf numFmtId="0" fontId="0" fillId="3" borderId="31" xfId="0" applyFill="1" applyBorder="1" applyProtection="1"/>
    <xf numFmtId="0" fontId="11" fillId="16" borderId="3" xfId="0" applyFont="1" applyFill="1" applyBorder="1" applyAlignment="1" applyProtection="1">
      <alignment horizontal="left" vertical="center"/>
    </xf>
    <xf numFmtId="0" fontId="37" fillId="16" borderId="4" xfId="0" applyFont="1" applyFill="1" applyBorder="1" applyAlignment="1" applyProtection="1">
      <alignment vertical="center" wrapText="1"/>
    </xf>
    <xf numFmtId="9" fontId="0" fillId="26" borderId="0" xfId="0" applyNumberFormat="1" applyFill="1" applyProtection="1"/>
    <xf numFmtId="3" fontId="0" fillId="26" borderId="0" xfId="0" applyNumberFormat="1" applyFill="1" applyProtection="1"/>
    <xf numFmtId="3" fontId="0" fillId="3" borderId="0" xfId="0" applyNumberFormat="1" applyFill="1" applyProtection="1"/>
    <xf numFmtId="3" fontId="0" fillId="3" borderId="36" xfId="0" applyNumberFormat="1" applyFill="1" applyBorder="1" applyProtection="1"/>
    <xf numFmtId="3" fontId="0" fillId="3" borderId="6" xfId="0" applyNumberFormat="1" applyFill="1" applyBorder="1" applyProtection="1"/>
    <xf numFmtId="0" fontId="0" fillId="3" borderId="10" xfId="0" applyFill="1" applyBorder="1" applyAlignment="1" applyProtection="1">
      <alignment horizontal="right"/>
    </xf>
    <xf numFmtId="0" fontId="0" fillId="3" borderId="11" xfId="0" applyFill="1" applyBorder="1" applyAlignment="1" applyProtection="1">
      <alignment horizontal="right"/>
    </xf>
    <xf numFmtId="3" fontId="0" fillId="3" borderId="11" xfId="0" applyNumberFormat="1" applyFill="1" applyBorder="1" applyProtection="1"/>
    <xf numFmtId="3" fontId="0" fillId="3" borderId="12" xfId="0" applyNumberFormat="1" applyFill="1" applyBorder="1" applyProtection="1"/>
    <xf numFmtId="0" fontId="0" fillId="14" borderId="0" xfId="0" applyFill="1" applyProtection="1"/>
    <xf numFmtId="0" fontId="0" fillId="11" borderId="18" xfId="0" applyFill="1" applyBorder="1" applyAlignment="1" applyProtection="1">
      <alignment vertical="top" wrapText="1"/>
    </xf>
    <xf numFmtId="0" fontId="0" fillId="0" borderId="0" xfId="0" applyAlignment="1" applyProtection="1">
      <alignment vertical="top" wrapText="1"/>
    </xf>
    <xf numFmtId="0" fontId="6" fillId="3" borderId="28" xfId="0" applyFont="1" applyFill="1" applyBorder="1" applyAlignment="1" applyProtection="1">
      <alignment horizontal="center" vertical="center"/>
    </xf>
    <xf numFmtId="0" fontId="15" fillId="3" borderId="0" xfId="0" applyFont="1" applyFill="1" applyAlignment="1" applyProtection="1">
      <alignment horizontal="center" vertical="center" wrapText="1"/>
    </xf>
    <xf numFmtId="0" fontId="5" fillId="6" borderId="2" xfId="0" applyFont="1" applyFill="1" applyBorder="1" applyProtection="1"/>
    <xf numFmtId="0" fontId="0" fillId="6" borderId="0" xfId="0" applyFill="1" applyProtection="1"/>
    <xf numFmtId="0" fontId="0" fillId="6" borderId="6" xfId="0" applyFill="1" applyBorder="1" applyProtection="1"/>
    <xf numFmtId="0" fontId="5" fillId="5" borderId="2" xfId="0" applyFont="1" applyFill="1" applyBorder="1" applyProtection="1"/>
    <xf numFmtId="0" fontId="0" fillId="5" borderId="3" xfId="0" applyFill="1" applyBorder="1" applyProtection="1"/>
    <xf numFmtId="0" fontId="0" fillId="5" borderId="4" xfId="0" applyFill="1" applyBorder="1" applyProtection="1"/>
    <xf numFmtId="0" fontId="0" fillId="7" borderId="5" xfId="0" applyFill="1" applyBorder="1" applyProtection="1"/>
    <xf numFmtId="0" fontId="44" fillId="7" borderId="6" xfId="0" applyFont="1" applyFill="1" applyBorder="1" applyProtection="1"/>
    <xf numFmtId="0" fontId="0" fillId="7" borderId="5" xfId="0" applyFill="1" applyBorder="1" applyAlignment="1" applyProtection="1">
      <alignment horizontal="right" vertical="center"/>
    </xf>
    <xf numFmtId="0" fontId="20" fillId="7" borderId="6" xfId="0" applyFont="1" applyFill="1" applyBorder="1" applyProtection="1"/>
    <xf numFmtId="9" fontId="20" fillId="7" borderId="6" xfId="1" applyFont="1" applyFill="1" applyBorder="1" applyProtection="1"/>
    <xf numFmtId="9" fontId="0" fillId="3" borderId="0" xfId="1" applyFont="1" applyFill="1" applyBorder="1" applyProtection="1"/>
    <xf numFmtId="9" fontId="0" fillId="0" borderId="0" xfId="1" applyFont="1" applyFill="1" applyBorder="1" applyProtection="1"/>
    <xf numFmtId="0" fontId="0" fillId="7" borderId="0" xfId="0" applyFill="1" applyAlignment="1" applyProtection="1">
      <alignment vertical="center"/>
    </xf>
    <xf numFmtId="0" fontId="0" fillId="7" borderId="5" xfId="0" applyFill="1" applyBorder="1" applyAlignment="1" applyProtection="1">
      <alignment horizontal="right" vertical="center" wrapText="1"/>
    </xf>
    <xf numFmtId="0" fontId="20" fillId="7" borderId="6" xfId="0" applyFont="1" applyFill="1" applyBorder="1" applyAlignment="1" applyProtection="1">
      <alignment vertical="center" wrapText="1"/>
    </xf>
    <xf numFmtId="0" fontId="0" fillId="3" borderId="0" xfId="0" applyFill="1" applyAlignment="1" applyProtection="1">
      <alignment wrapText="1"/>
    </xf>
    <xf numFmtId="0" fontId="0" fillId="7" borderId="7" xfId="0" applyFill="1" applyBorder="1" applyAlignment="1" applyProtection="1">
      <alignment horizontal="right" vertical="center" wrapText="1"/>
    </xf>
    <xf numFmtId="0" fontId="0" fillId="7" borderId="8" xfId="0" applyFill="1" applyBorder="1" applyAlignment="1" applyProtection="1">
      <alignment vertical="center"/>
    </xf>
    <xf numFmtId="0" fontId="20" fillId="7" borderId="9" xfId="0" applyFont="1" applyFill="1" applyBorder="1" applyAlignment="1" applyProtection="1">
      <alignment wrapText="1"/>
    </xf>
    <xf numFmtId="0" fontId="0" fillId="6" borderId="7" xfId="0" applyFill="1" applyBorder="1" applyProtection="1"/>
    <xf numFmtId="9" fontId="0" fillId="6" borderId="8" xfId="0" applyNumberFormat="1" applyFill="1" applyBorder="1" applyProtection="1"/>
    <xf numFmtId="0" fontId="20" fillId="6" borderId="9" xfId="0" applyFont="1" applyFill="1" applyBorder="1" applyAlignment="1" applyProtection="1">
      <alignment wrapText="1"/>
    </xf>
    <xf numFmtId="0" fontId="5" fillId="5" borderId="2" xfId="0" applyFont="1" applyFill="1" applyBorder="1" applyAlignment="1" applyProtection="1">
      <alignment vertical="center"/>
    </xf>
    <xf numFmtId="0" fontId="20" fillId="5" borderId="4" xfId="0" applyFont="1" applyFill="1" applyBorder="1" applyAlignment="1" applyProtection="1">
      <alignment wrapText="1"/>
    </xf>
    <xf numFmtId="170" fontId="0" fillId="0" borderId="0" xfId="0" applyNumberFormat="1" applyProtection="1"/>
    <xf numFmtId="0" fontId="0" fillId="0" borderId="0" xfId="1" applyNumberFormat="1" applyFont="1" applyProtection="1"/>
    <xf numFmtId="169" fontId="0" fillId="7" borderId="21" xfId="0" applyNumberFormat="1" applyFill="1" applyBorder="1" applyAlignment="1" applyProtection="1">
      <alignment vertical="center"/>
    </xf>
    <xf numFmtId="9" fontId="20" fillId="7" borderId="6" xfId="0" applyNumberFormat="1" applyFont="1" applyFill="1" applyBorder="1" applyAlignment="1" applyProtection="1">
      <alignment wrapText="1"/>
    </xf>
    <xf numFmtId="9" fontId="0" fillId="0" borderId="0" xfId="0" applyNumberFormat="1" applyProtection="1"/>
    <xf numFmtId="0" fontId="0" fillId="7" borderId="21" xfId="0" applyFill="1" applyBorder="1" applyAlignment="1" applyProtection="1">
      <alignment vertical="center"/>
    </xf>
    <xf numFmtId="168" fontId="0" fillId="7" borderId="21" xfId="0" applyNumberFormat="1" applyFill="1" applyBorder="1" applyAlignment="1" applyProtection="1">
      <alignment vertical="center"/>
    </xf>
    <xf numFmtId="9" fontId="20" fillId="6" borderId="9" xfId="0" applyNumberFormat="1" applyFont="1" applyFill="1" applyBorder="1" applyProtection="1"/>
    <xf numFmtId="0" fontId="20" fillId="5" borderId="4" xfId="0" applyFont="1" applyFill="1" applyBorder="1" applyProtection="1"/>
    <xf numFmtId="0" fontId="20" fillId="7" borderId="6" xfId="0" applyFont="1" applyFill="1" applyBorder="1" applyAlignment="1" applyProtection="1">
      <alignment wrapText="1"/>
    </xf>
    <xf numFmtId="9" fontId="0" fillId="17" borderId="0" xfId="0" applyNumberFormat="1" applyFill="1" applyProtection="1"/>
    <xf numFmtId="0" fontId="0" fillId="6" borderId="5" xfId="0" applyFill="1" applyBorder="1" applyProtection="1"/>
    <xf numFmtId="9" fontId="0" fillId="6" borderId="0" xfId="0" applyNumberFormat="1" applyFill="1" applyProtection="1"/>
    <xf numFmtId="9" fontId="20" fillId="6" borderId="6" xfId="0" applyNumberFormat="1" applyFont="1" applyFill="1" applyBorder="1" applyProtection="1"/>
    <xf numFmtId="9" fontId="20" fillId="7" borderId="6" xfId="0" applyNumberFormat="1" applyFont="1" applyFill="1" applyBorder="1" applyAlignment="1" applyProtection="1">
      <alignment horizontal="left" vertical="center" wrapText="1"/>
    </xf>
    <xf numFmtId="0" fontId="0" fillId="3" borderId="0" xfId="1" applyNumberFormat="1" applyFont="1" applyFill="1" applyBorder="1" applyProtection="1"/>
    <xf numFmtId="9" fontId="20" fillId="7" borderId="6" xfId="0" applyNumberFormat="1" applyFont="1" applyFill="1" applyBorder="1" applyAlignment="1" applyProtection="1">
      <alignment horizontal="left" vertical="center"/>
    </xf>
    <xf numFmtId="0" fontId="0" fillId="6" borderId="8" xfId="0" applyFill="1" applyBorder="1" applyProtection="1"/>
    <xf numFmtId="0" fontId="20" fillId="6" borderId="9" xfId="0" applyFont="1" applyFill="1" applyBorder="1" applyProtection="1"/>
    <xf numFmtId="0" fontId="0" fillId="3" borderId="0" xfId="0" applyFill="1" applyAlignment="1" applyProtection="1">
      <alignment vertical="center"/>
    </xf>
    <xf numFmtId="0" fontId="0" fillId="0" borderId="0" xfId="0" applyAlignment="1" applyProtection="1">
      <alignment vertical="center"/>
    </xf>
    <xf numFmtId="168" fontId="0" fillId="7" borderId="0" xfId="0" applyNumberFormat="1" applyFill="1" applyAlignment="1" applyProtection="1">
      <alignment horizontal="right" vertical="center"/>
    </xf>
    <xf numFmtId="0" fontId="0" fillId="3" borderId="0" xfId="0" applyFill="1" applyAlignment="1" applyProtection="1">
      <alignment horizontal="left" vertical="center"/>
    </xf>
    <xf numFmtId="0" fontId="0" fillId="7" borderId="22" xfId="0" applyFill="1" applyBorder="1" applyAlignment="1" applyProtection="1">
      <alignment horizontal="right" vertical="center"/>
    </xf>
    <xf numFmtId="0" fontId="0" fillId="7" borderId="0" xfId="0" applyFill="1" applyAlignment="1" applyProtection="1">
      <alignment horizontal="right" vertical="center"/>
    </xf>
    <xf numFmtId="0" fontId="0" fillId="7" borderId="16" xfId="0" applyFill="1" applyBorder="1" applyAlignment="1" applyProtection="1">
      <alignment horizontal="right" vertical="center"/>
    </xf>
    <xf numFmtId="171" fontId="0" fillId="3" borderId="0" xfId="0" applyNumberFormat="1" applyFill="1" applyProtection="1"/>
    <xf numFmtId="0" fontId="0" fillId="17" borderId="0" xfId="0" applyFill="1" applyProtection="1"/>
    <xf numFmtId="0" fontId="5" fillId="5" borderId="5" xfId="0" applyFont="1" applyFill="1" applyBorder="1" applyProtection="1"/>
    <xf numFmtId="0" fontId="0" fillId="5" borderId="0" xfId="0" applyFill="1" applyProtection="1"/>
    <xf numFmtId="0" fontId="20" fillId="5" borderId="6" xfId="0" applyFont="1" applyFill="1" applyBorder="1" applyProtection="1"/>
    <xf numFmtId="0" fontId="5" fillId="7" borderId="5" xfId="0" applyFont="1" applyFill="1" applyBorder="1" applyAlignment="1" applyProtection="1">
      <alignment horizontal="right"/>
    </xf>
    <xf numFmtId="0" fontId="0" fillId="6" borderId="9" xfId="0" applyFill="1" applyBorder="1" applyAlignment="1" applyProtection="1">
      <alignment wrapText="1"/>
    </xf>
    <xf numFmtId="0" fontId="0" fillId="7" borderId="6" xfId="0" applyFill="1" applyBorder="1" applyProtection="1"/>
    <xf numFmtId="0" fontId="43" fillId="3" borderId="0" xfId="0" applyFont="1" applyFill="1" applyAlignment="1" applyProtection="1">
      <alignment horizontal="center" vertical="center" wrapText="1"/>
    </xf>
    <xf numFmtId="0" fontId="0" fillId="3" borderId="3" xfId="0" applyFill="1" applyBorder="1" applyProtection="1"/>
    <xf numFmtId="0" fontId="0" fillId="3" borderId="4" xfId="0" applyFill="1" applyBorder="1" applyProtection="1"/>
    <xf numFmtId="0" fontId="50" fillId="3" borderId="0" xfId="0" applyFont="1" applyFill="1" applyProtection="1"/>
    <xf numFmtId="0" fontId="0" fillId="3" borderId="6" xfId="0" applyFill="1" applyBorder="1" applyProtection="1"/>
    <xf numFmtId="0" fontId="38" fillId="3" borderId="0" xfId="0" applyFont="1" applyFill="1" applyAlignment="1" applyProtection="1">
      <alignment vertical="center"/>
    </xf>
    <xf numFmtId="3" fontId="2" fillId="16" borderId="3" xfId="0" applyNumberFormat="1" applyFont="1" applyFill="1" applyBorder="1" applyAlignment="1" applyProtection="1">
      <alignment horizontal="center" vertical="center"/>
    </xf>
    <xf numFmtId="0" fontId="10" fillId="16" borderId="4" xfId="0" applyFont="1" applyFill="1" applyBorder="1" applyAlignment="1" applyProtection="1">
      <alignment horizontal="center" vertical="center"/>
    </xf>
    <xf numFmtId="0" fontId="26" fillId="3" borderId="3" xfId="0" applyFont="1" applyFill="1" applyBorder="1" applyAlignment="1" applyProtection="1">
      <alignment horizontal="center" vertical="center"/>
    </xf>
    <xf numFmtId="0" fontId="20" fillId="3" borderId="12" xfId="0" applyFont="1" applyFill="1" applyBorder="1" applyAlignment="1" applyProtection="1">
      <alignment horizontal="center" vertical="center"/>
    </xf>
    <xf numFmtId="3" fontId="2" fillId="16" borderId="0" xfId="0" applyNumberFormat="1" applyFont="1" applyFill="1" applyAlignment="1" applyProtection="1">
      <alignment horizontal="center" vertical="center"/>
    </xf>
    <xf numFmtId="0" fontId="10" fillId="16" borderId="6" xfId="0" applyFont="1" applyFill="1" applyBorder="1" applyProtection="1"/>
    <xf numFmtId="0" fontId="15" fillId="3" borderId="0" xfId="0" applyFont="1" applyFill="1" applyProtection="1"/>
    <xf numFmtId="0" fontId="10" fillId="18" borderId="18" xfId="0" applyFont="1" applyFill="1" applyBorder="1" applyAlignment="1" applyProtection="1">
      <alignment horizontal="center" vertical="center"/>
    </xf>
    <xf numFmtId="0" fontId="7" fillId="16" borderId="5" xfId="0" applyFont="1" applyFill="1" applyBorder="1" applyAlignment="1" applyProtection="1">
      <alignment horizontal="right" vertical="center"/>
    </xf>
    <xf numFmtId="172" fontId="7" fillId="16" borderId="0" xfId="0" applyNumberFormat="1" applyFont="1" applyFill="1" applyAlignment="1" applyProtection="1">
      <alignment horizontal="right" vertical="center" wrapText="1"/>
    </xf>
    <xf numFmtId="0" fontId="0" fillId="16" borderId="27" xfId="0" applyFill="1" applyBorder="1" applyAlignment="1" applyProtection="1">
      <alignment horizontal="right" vertical="center"/>
    </xf>
    <xf numFmtId="164" fontId="9" fillId="16" borderId="3" xfId="0" applyNumberFormat="1" applyFont="1" applyFill="1" applyBorder="1" applyAlignment="1" applyProtection="1">
      <alignment horizontal="right" vertical="center" wrapText="1"/>
    </xf>
    <xf numFmtId="164" fontId="0" fillId="16" borderId="2" xfId="0" applyNumberFormat="1" applyFill="1" applyBorder="1" applyAlignment="1" applyProtection="1">
      <alignment horizontal="right" vertical="center" wrapText="1"/>
    </xf>
    <xf numFmtId="164" fontId="0" fillId="16" borderId="3" xfId="0" applyNumberFormat="1" applyFill="1" applyBorder="1" applyAlignment="1" applyProtection="1">
      <alignment horizontal="right" vertical="center" wrapText="1"/>
    </xf>
    <xf numFmtId="3" fontId="10" fillId="16" borderId="6" xfId="0" applyNumberFormat="1" applyFont="1" applyFill="1" applyBorder="1" applyAlignment="1" applyProtection="1">
      <alignment horizontal="right" vertical="center"/>
    </xf>
    <xf numFmtId="0" fontId="15" fillId="3" borderId="0" xfId="0" applyFont="1" applyFill="1" applyAlignment="1" applyProtection="1">
      <alignment horizontal="center" vertical="center"/>
    </xf>
    <xf numFmtId="164" fontId="9" fillId="16" borderId="0" xfId="0" applyNumberFormat="1" applyFont="1" applyFill="1" applyAlignment="1" applyProtection="1">
      <alignment horizontal="right" vertical="center" wrapText="1"/>
    </xf>
    <xf numFmtId="164" fontId="0" fillId="16" borderId="5" xfId="0" applyNumberFormat="1" applyFill="1" applyBorder="1" applyAlignment="1" applyProtection="1">
      <alignment horizontal="right" vertical="center" wrapText="1"/>
    </xf>
    <xf numFmtId="164" fontId="0" fillId="16" borderId="0" xfId="0" applyNumberFormat="1" applyFill="1" applyAlignment="1" applyProtection="1">
      <alignment horizontal="right" vertical="center" wrapText="1"/>
    </xf>
    <xf numFmtId="0" fontId="10" fillId="16" borderId="6" xfId="0" applyFont="1" applyFill="1" applyBorder="1" applyAlignment="1" applyProtection="1">
      <alignment horizontal="center" vertical="center"/>
    </xf>
    <xf numFmtId="0" fontId="41" fillId="3" borderId="0" xfId="0" applyFont="1" applyFill="1" applyAlignment="1" applyProtection="1">
      <alignment horizontal="left" vertical="top"/>
    </xf>
    <xf numFmtId="164" fontId="46" fillId="16" borderId="5" xfId="0" applyNumberFormat="1" applyFont="1" applyFill="1" applyBorder="1" applyAlignment="1" applyProtection="1">
      <alignment horizontal="right" vertical="center" wrapText="1"/>
    </xf>
    <xf numFmtId="164" fontId="46" fillId="16" borderId="0" xfId="0" applyNumberFormat="1" applyFont="1" applyFill="1" applyAlignment="1" applyProtection="1">
      <alignment horizontal="right" vertical="center" wrapText="1"/>
    </xf>
    <xf numFmtId="3" fontId="10" fillId="16" borderId="0" xfId="0" applyNumberFormat="1" applyFont="1" applyFill="1" applyAlignment="1" applyProtection="1">
      <alignment horizontal="right" vertical="center"/>
    </xf>
    <xf numFmtId="0" fontId="0" fillId="16" borderId="15" xfId="0" applyFill="1" applyBorder="1" applyAlignment="1" applyProtection="1">
      <alignment horizontal="right" vertical="center"/>
    </xf>
    <xf numFmtId="0" fontId="5" fillId="16" borderId="2" xfId="0" applyFont="1" applyFill="1" applyBorder="1" applyAlignment="1" applyProtection="1">
      <alignment horizontal="right" vertical="center"/>
    </xf>
    <xf numFmtId="0" fontId="0" fillId="16" borderId="5" xfId="0" applyFill="1" applyBorder="1" applyAlignment="1" applyProtection="1">
      <alignment horizontal="right" vertical="center"/>
    </xf>
    <xf numFmtId="0" fontId="5" fillId="16" borderId="5" xfId="0" applyFont="1" applyFill="1" applyBorder="1" applyAlignment="1" applyProtection="1">
      <alignment horizontal="right" vertical="center"/>
    </xf>
    <xf numFmtId="3" fontId="10" fillId="16" borderId="7" xfId="0" applyNumberFormat="1" applyFont="1" applyFill="1" applyBorder="1" applyAlignment="1" applyProtection="1">
      <alignment horizontal="right" vertical="center"/>
    </xf>
    <xf numFmtId="3" fontId="10" fillId="16" borderId="8" xfId="0" applyNumberFormat="1" applyFont="1" applyFill="1" applyBorder="1" applyAlignment="1" applyProtection="1">
      <alignment horizontal="right" vertical="center"/>
    </xf>
    <xf numFmtId="3" fontId="10" fillId="16" borderId="9" xfId="0" applyNumberFormat="1" applyFont="1" applyFill="1" applyBorder="1" applyAlignment="1" applyProtection="1">
      <alignment horizontal="right" vertical="center"/>
    </xf>
    <xf numFmtId="3" fontId="10" fillId="16" borderId="4" xfId="0" applyNumberFormat="1" applyFont="1" applyFill="1" applyBorder="1" applyAlignment="1" applyProtection="1">
      <alignment horizontal="right" vertical="center"/>
    </xf>
    <xf numFmtId="0" fontId="5" fillId="16" borderId="7" xfId="0" applyFont="1" applyFill="1" applyBorder="1" applyAlignment="1" applyProtection="1">
      <alignment horizontal="right" vertical="center"/>
    </xf>
    <xf numFmtId="0" fontId="5" fillId="3" borderId="0" xfId="0" applyFont="1" applyFill="1" applyAlignment="1" applyProtection="1">
      <alignment horizontal="right" vertical="center"/>
    </xf>
    <xf numFmtId="3" fontId="10" fillId="3" borderId="5" xfId="0" applyNumberFormat="1" applyFont="1" applyFill="1" applyBorder="1" applyAlignment="1" applyProtection="1">
      <alignment horizontal="right" vertical="center"/>
    </xf>
    <xf numFmtId="3" fontId="10" fillId="3" borderId="0" xfId="0" applyNumberFormat="1" applyFont="1" applyFill="1" applyAlignment="1" applyProtection="1">
      <alignment horizontal="right" vertical="center"/>
    </xf>
    <xf numFmtId="0" fontId="0" fillId="3" borderId="9" xfId="0" applyFill="1" applyBorder="1" applyAlignment="1" applyProtection="1">
      <alignment horizontal="right" vertical="center"/>
    </xf>
    <xf numFmtId="0" fontId="10" fillId="18" borderId="2" xfId="0" applyFont="1" applyFill="1" applyBorder="1" applyAlignment="1" applyProtection="1">
      <alignment horizontal="center" vertical="center"/>
    </xf>
    <xf numFmtId="0" fontId="0" fillId="3" borderId="9" xfId="0" applyFill="1" applyBorder="1" applyProtection="1"/>
    <xf numFmtId="0" fontId="0" fillId="16" borderId="2" xfId="0" applyFill="1" applyBorder="1" applyProtection="1"/>
    <xf numFmtId="0" fontId="15" fillId="16" borderId="3" xfId="0" applyFont="1" applyFill="1" applyBorder="1" applyAlignment="1" applyProtection="1">
      <alignment horizontal="right" vertical="center"/>
    </xf>
    <xf numFmtId="3" fontId="7" fillId="16" borderId="4" xfId="0" applyNumberFormat="1" applyFont="1" applyFill="1" applyBorder="1" applyAlignment="1" applyProtection="1">
      <alignment horizontal="center" vertical="center"/>
    </xf>
    <xf numFmtId="0" fontId="0" fillId="16" borderId="2" xfId="0" applyFill="1" applyBorder="1" applyAlignment="1" applyProtection="1">
      <alignment horizontal="right" vertical="center" wrapText="1"/>
    </xf>
    <xf numFmtId="0" fontId="0" fillId="16" borderId="5" xfId="0" applyFill="1" applyBorder="1" applyProtection="1"/>
    <xf numFmtId="1" fontId="7" fillId="16" borderId="6" xfId="0" applyNumberFormat="1" applyFont="1" applyFill="1" applyBorder="1" applyAlignment="1" applyProtection="1">
      <alignment horizontal="center" vertical="center"/>
    </xf>
    <xf numFmtId="0" fontId="0" fillId="16" borderId="5" xfId="0" applyFill="1" applyBorder="1" applyAlignment="1" applyProtection="1">
      <alignment horizontal="right" vertical="center" wrapText="1"/>
    </xf>
    <xf numFmtId="0" fontId="7" fillId="16" borderId="6" xfId="0" applyFont="1" applyFill="1" applyBorder="1" applyAlignment="1" applyProtection="1">
      <alignment horizontal="center" vertical="center"/>
    </xf>
    <xf numFmtId="0" fontId="0" fillId="16" borderId="7" xfId="0" applyFill="1" applyBorder="1" applyProtection="1"/>
    <xf numFmtId="0" fontId="15" fillId="16" borderId="8" xfId="0" applyFont="1" applyFill="1" applyBorder="1" applyAlignment="1" applyProtection="1">
      <alignment horizontal="right" vertical="center"/>
    </xf>
    <xf numFmtId="0" fontId="7" fillId="16" borderId="9" xfId="0" applyFont="1" applyFill="1" applyBorder="1" applyAlignment="1" applyProtection="1">
      <alignment horizontal="center" vertical="center"/>
    </xf>
    <xf numFmtId="0" fontId="0" fillId="3" borderId="16" xfId="0" applyFill="1" applyBorder="1" applyProtection="1"/>
    <xf numFmtId="0" fontId="0" fillId="3" borderId="16" xfId="0" applyFill="1" applyBorder="1" applyAlignment="1" applyProtection="1">
      <alignment horizontal="center" vertical="center"/>
    </xf>
    <xf numFmtId="0" fontId="0" fillId="3" borderId="44" xfId="0" applyFill="1" applyBorder="1" applyProtection="1"/>
    <xf numFmtId="0" fontId="0" fillId="3" borderId="22" xfId="0" applyFill="1" applyBorder="1" applyProtection="1"/>
    <xf numFmtId="0" fontId="0" fillId="3" borderId="17" xfId="0" applyFill="1" applyBorder="1" applyProtection="1"/>
    <xf numFmtId="0" fontId="12" fillId="3" borderId="0" xfId="0" applyFont="1" applyFill="1" applyAlignment="1" applyProtection="1">
      <alignment vertical="center" wrapText="1"/>
    </xf>
    <xf numFmtId="0" fontId="12" fillId="3" borderId="6" xfId="0" applyFont="1" applyFill="1" applyBorder="1" applyAlignment="1" applyProtection="1">
      <alignment vertical="center" wrapText="1"/>
    </xf>
    <xf numFmtId="0" fontId="0" fillId="16" borderId="6" xfId="0" applyFill="1" applyBorder="1" applyAlignment="1" applyProtection="1">
      <alignment vertical="center"/>
    </xf>
    <xf numFmtId="0" fontId="0" fillId="16" borderId="0" xfId="0" applyFill="1" applyProtection="1"/>
    <xf numFmtId="0" fontId="0" fillId="16" borderId="6" xfId="0" applyFill="1" applyBorder="1" applyProtection="1"/>
    <xf numFmtId="0" fontId="0" fillId="16" borderId="35" xfId="0" applyFill="1" applyBorder="1" applyAlignment="1" applyProtection="1">
      <alignment vertical="center"/>
    </xf>
    <xf numFmtId="0" fontId="9" fillId="16" borderId="5" xfId="0" applyFont="1" applyFill="1" applyBorder="1" applyProtection="1"/>
    <xf numFmtId="0" fontId="9" fillId="16" borderId="0" xfId="0" applyFont="1" applyFill="1" applyProtection="1"/>
    <xf numFmtId="0" fontId="9" fillId="16" borderId="6" xfId="0" applyFont="1" applyFill="1" applyBorder="1" applyProtection="1"/>
    <xf numFmtId="0" fontId="9" fillId="16" borderId="5" xfId="0" applyFont="1" applyFill="1" applyBorder="1" applyAlignment="1" applyProtection="1">
      <alignment horizontal="right"/>
    </xf>
    <xf numFmtId="0" fontId="0" fillId="16" borderId="7" xfId="0" applyFill="1" applyBorder="1" applyAlignment="1" applyProtection="1">
      <alignment horizontal="right"/>
    </xf>
    <xf numFmtId="0" fontId="0" fillId="16" borderId="9" xfId="0" applyFill="1" applyBorder="1" applyProtection="1"/>
    <xf numFmtId="0" fontId="0" fillId="16" borderId="7" xfId="0" applyFill="1" applyBorder="1" applyAlignment="1" applyProtection="1">
      <alignment horizontal="right" vertical="center" wrapText="1"/>
    </xf>
    <xf numFmtId="0" fontId="0" fillId="16" borderId="7" xfId="0" applyFill="1" applyBorder="1" applyAlignment="1" applyProtection="1">
      <alignment horizontal="right" vertical="center"/>
    </xf>
    <xf numFmtId="0" fontId="0" fillId="16" borderId="40" xfId="0" applyFill="1" applyBorder="1" applyAlignment="1" applyProtection="1">
      <alignment vertical="center"/>
    </xf>
    <xf numFmtId="0" fontId="0" fillId="16" borderId="9" xfId="0" applyFill="1" applyBorder="1" applyAlignment="1" applyProtection="1">
      <alignment vertical="center"/>
    </xf>
    <xf numFmtId="0" fontId="0" fillId="3" borderId="6" xfId="0" applyFill="1" applyBorder="1" applyAlignment="1" applyProtection="1">
      <alignment vertical="center"/>
    </xf>
    <xf numFmtId="0" fontId="11" fillId="23" borderId="10" xfId="0" applyFont="1" applyFill="1" applyBorder="1" applyAlignment="1" applyProtection="1">
      <alignment horizontal="right" vertical="center"/>
    </xf>
    <xf numFmtId="0" fontId="5" fillId="3" borderId="6" xfId="0" applyFont="1" applyFill="1" applyBorder="1" applyAlignment="1" applyProtection="1">
      <alignment vertical="center"/>
    </xf>
    <xf numFmtId="0" fontId="0" fillId="3" borderId="8" xfId="0" applyFill="1" applyBorder="1" applyProtection="1"/>
    <xf numFmtId="0" fontId="52" fillId="3" borderId="0" xfId="0" applyFont="1" applyFill="1" applyAlignment="1" applyProtection="1">
      <alignment vertical="center" wrapText="1"/>
    </xf>
    <xf numFmtId="0" fontId="0" fillId="3" borderId="39" xfId="0" applyFill="1" applyBorder="1" applyProtection="1"/>
    <xf numFmtId="0" fontId="0" fillId="7" borderId="2" xfId="0" applyFill="1" applyBorder="1" applyAlignment="1" applyProtection="1">
      <alignment horizontal="right" vertical="center"/>
    </xf>
    <xf numFmtId="164" fontId="9" fillId="7" borderId="2" xfId="0" applyNumberFormat="1" applyFont="1" applyFill="1" applyBorder="1" applyAlignment="1" applyProtection="1">
      <alignment horizontal="right" vertical="center" wrapText="1"/>
    </xf>
    <xf numFmtId="164" fontId="9" fillId="7" borderId="24" xfId="0" applyNumberFormat="1" applyFont="1" applyFill="1" applyBorder="1" applyAlignment="1" applyProtection="1">
      <alignment horizontal="right" vertical="center" wrapText="1"/>
    </xf>
    <xf numFmtId="164" fontId="0" fillId="7" borderId="3" xfId="0" applyNumberFormat="1" applyFill="1" applyBorder="1" applyAlignment="1" applyProtection="1">
      <alignment horizontal="right" vertical="center" wrapText="1"/>
    </xf>
    <xf numFmtId="164" fontId="0" fillId="7" borderId="4" xfId="0" applyNumberFormat="1" applyFill="1" applyBorder="1" applyAlignment="1" applyProtection="1">
      <alignment horizontal="right" vertical="center" wrapText="1"/>
    </xf>
    <xf numFmtId="164" fontId="0" fillId="7" borderId="2" xfId="0" applyNumberFormat="1" applyFill="1" applyBorder="1" applyAlignment="1" applyProtection="1">
      <alignment horizontal="right" vertical="center" wrapText="1"/>
    </xf>
    <xf numFmtId="164" fontId="0" fillId="7" borderId="3" xfId="0" applyNumberFormat="1" applyFill="1" applyBorder="1" applyAlignment="1" applyProtection="1">
      <alignment vertical="center" wrapText="1"/>
    </xf>
    <xf numFmtId="0" fontId="0" fillId="7" borderId="4" xfId="0" applyFill="1" applyBorder="1" applyAlignment="1" applyProtection="1">
      <alignment vertical="center" wrapText="1"/>
    </xf>
    <xf numFmtId="164" fontId="0" fillId="7" borderId="3" xfId="0" applyNumberFormat="1" applyFill="1" applyBorder="1" applyAlignment="1" applyProtection="1">
      <alignment horizontal="center" vertical="center" wrapText="1"/>
    </xf>
    <xf numFmtId="0" fontId="0" fillId="7" borderId="4" xfId="0" applyFill="1" applyBorder="1" applyAlignment="1" applyProtection="1">
      <alignment horizontal="center" vertical="center" wrapText="1"/>
    </xf>
    <xf numFmtId="0" fontId="11" fillId="16" borderId="2" xfId="0" applyFont="1" applyFill="1" applyBorder="1" applyAlignment="1" applyProtection="1">
      <alignment horizontal="left"/>
    </xf>
    <xf numFmtId="0" fontId="11" fillId="16" borderId="3" xfId="0" applyFont="1" applyFill="1" applyBorder="1" applyAlignment="1" applyProtection="1">
      <alignment horizontal="left"/>
    </xf>
    <xf numFmtId="0" fontId="9" fillId="16" borderId="3" xfId="0" applyFont="1" applyFill="1" applyBorder="1" applyAlignment="1" applyProtection="1">
      <alignment horizontal="right"/>
    </xf>
    <xf numFmtId="0" fontId="9" fillId="16" borderId="4" xfId="0" applyFont="1" applyFill="1" applyBorder="1" applyAlignment="1" applyProtection="1">
      <alignment horizontal="right"/>
    </xf>
    <xf numFmtId="164" fontId="9" fillId="7" borderId="5" xfId="0" applyNumberFormat="1" applyFont="1" applyFill="1" applyBorder="1" applyAlignment="1" applyProtection="1">
      <alignment horizontal="right" vertical="center" wrapText="1"/>
    </xf>
    <xf numFmtId="164" fontId="9" fillId="7" borderId="27" xfId="0" applyNumberFormat="1" applyFont="1" applyFill="1" applyBorder="1" applyAlignment="1" applyProtection="1">
      <alignment horizontal="right" vertical="center" wrapText="1"/>
    </xf>
    <xf numFmtId="164" fontId="0" fillId="7" borderId="0" xfId="0" applyNumberFormat="1" applyFill="1" applyAlignment="1" applyProtection="1">
      <alignment horizontal="right" vertical="center" wrapText="1"/>
    </xf>
    <xf numFmtId="164" fontId="0" fillId="7" borderId="6" xfId="0" applyNumberFormat="1" applyFill="1" applyBorder="1" applyAlignment="1" applyProtection="1">
      <alignment horizontal="right" vertical="center" wrapText="1"/>
    </xf>
    <xf numFmtId="164" fontId="0" fillId="7" borderId="5" xfId="0" applyNumberFormat="1" applyFill="1" applyBorder="1" applyAlignment="1" applyProtection="1">
      <alignment horizontal="right" vertical="center" wrapText="1"/>
    </xf>
    <xf numFmtId="164" fontId="0" fillId="7" borderId="0" xfId="0" applyNumberFormat="1" applyFill="1" applyAlignment="1" applyProtection="1">
      <alignment vertical="center" wrapText="1"/>
    </xf>
    <xf numFmtId="0" fontId="0" fillId="7" borderId="6" xfId="0" applyFill="1" applyBorder="1" applyAlignment="1" applyProtection="1">
      <alignment vertical="center" wrapText="1"/>
    </xf>
    <xf numFmtId="164" fontId="0" fillId="7" borderId="0" xfId="0" applyNumberFormat="1" applyFill="1" applyAlignment="1" applyProtection="1">
      <alignment horizontal="center" vertical="center" wrapText="1"/>
    </xf>
    <xf numFmtId="0" fontId="0" fillId="7" borderId="6" xfId="0" applyFill="1" applyBorder="1" applyAlignment="1" applyProtection="1">
      <alignment horizontal="center" vertical="center" wrapText="1"/>
    </xf>
    <xf numFmtId="0" fontId="45" fillId="16" borderId="5" xfId="0" applyFont="1" applyFill="1" applyBorder="1" applyAlignment="1" applyProtection="1">
      <alignment horizontal="right"/>
    </xf>
    <xf numFmtId="0" fontId="45" fillId="16" borderId="0" xfId="0" applyFont="1" applyFill="1" applyAlignment="1" applyProtection="1">
      <alignment horizontal="right"/>
    </xf>
    <xf numFmtId="0" fontId="9" fillId="16" borderId="0" xfId="0" applyFont="1" applyFill="1" applyAlignment="1" applyProtection="1">
      <alignment horizontal="right"/>
    </xf>
    <xf numFmtId="1" fontId="9" fillId="16" borderId="0" xfId="0" applyNumberFormat="1" applyFont="1" applyFill="1" applyAlignment="1" applyProtection="1">
      <alignment horizontal="right"/>
    </xf>
    <xf numFmtId="1" fontId="9" fillId="16" borderId="6" xfId="0" applyNumberFormat="1" applyFont="1" applyFill="1" applyBorder="1" applyAlignment="1" applyProtection="1">
      <alignment horizontal="right"/>
    </xf>
    <xf numFmtId="0" fontId="9" fillId="16" borderId="5" xfId="0" applyFont="1" applyFill="1" applyBorder="1" applyAlignment="1" applyProtection="1">
      <alignment horizontal="right" vertical="center"/>
    </xf>
    <xf numFmtId="0" fontId="9" fillId="16" borderId="0" xfId="0" applyFont="1" applyFill="1" applyAlignment="1" applyProtection="1">
      <alignment horizontal="right" vertical="center"/>
    </xf>
    <xf numFmtId="0" fontId="11" fillId="16" borderId="5" xfId="0" applyFont="1" applyFill="1" applyBorder="1" applyAlignment="1" applyProtection="1">
      <alignment horizontal="left"/>
    </xf>
    <xf numFmtId="0" fontId="11" fillId="16" borderId="0" xfId="0" applyFont="1" applyFill="1" applyAlignment="1" applyProtection="1">
      <alignment horizontal="left"/>
    </xf>
    <xf numFmtId="0" fontId="9" fillId="16" borderId="6" xfId="0" applyFont="1" applyFill="1" applyBorder="1" applyAlignment="1" applyProtection="1">
      <alignment horizontal="right"/>
    </xf>
    <xf numFmtId="0" fontId="0" fillId="3" borderId="0" xfId="0" applyFill="1" applyAlignment="1" applyProtection="1">
      <alignment horizontal="right"/>
    </xf>
    <xf numFmtId="164" fontId="9" fillId="16" borderId="0" xfId="0" applyNumberFormat="1" applyFont="1" applyFill="1" applyAlignment="1" applyProtection="1">
      <alignment horizontal="right"/>
    </xf>
    <xf numFmtId="164" fontId="0" fillId="7" borderId="6" xfId="0" applyNumberFormat="1" applyFill="1" applyBorder="1" applyAlignment="1" applyProtection="1">
      <alignment vertical="center" wrapText="1"/>
    </xf>
    <xf numFmtId="164" fontId="0" fillId="7" borderId="6" xfId="0" applyNumberFormat="1" applyFill="1" applyBorder="1" applyAlignment="1" applyProtection="1">
      <alignment horizontal="center" vertical="center" wrapText="1"/>
    </xf>
    <xf numFmtId="0" fontId="9" fillId="16" borderId="7" xfId="0" applyFont="1" applyFill="1" applyBorder="1" applyProtection="1"/>
    <xf numFmtId="0" fontId="9" fillId="16" borderId="8" xfId="0" applyFont="1" applyFill="1" applyBorder="1" applyProtection="1"/>
    <xf numFmtId="0" fontId="9" fillId="16" borderId="9" xfId="0" applyFont="1" applyFill="1" applyBorder="1" applyProtection="1"/>
    <xf numFmtId="0" fontId="0" fillId="7" borderId="7" xfId="0" applyFill="1" applyBorder="1" applyAlignment="1" applyProtection="1">
      <alignment horizontal="right" vertical="center"/>
    </xf>
    <xf numFmtId="164" fontId="9" fillId="7" borderId="7" xfId="0" applyNumberFormat="1" applyFont="1" applyFill="1" applyBorder="1" applyAlignment="1" applyProtection="1">
      <alignment horizontal="right" vertical="center" wrapText="1"/>
    </xf>
    <xf numFmtId="164" fontId="9" fillId="7" borderId="15" xfId="0" applyNumberFormat="1" applyFont="1" applyFill="1" applyBorder="1" applyAlignment="1" applyProtection="1">
      <alignment horizontal="right" vertical="center" wrapText="1"/>
    </xf>
    <xf numFmtId="164" fontId="0" fillId="7" borderId="7" xfId="0" applyNumberFormat="1" applyFill="1" applyBorder="1" applyAlignment="1" applyProtection="1">
      <alignment horizontal="right" vertical="center" wrapText="1"/>
    </xf>
    <xf numFmtId="164" fontId="0" fillId="7" borderId="9" xfId="0" applyNumberFormat="1" applyFill="1" applyBorder="1" applyAlignment="1" applyProtection="1">
      <alignment horizontal="right" vertical="center" wrapText="1"/>
    </xf>
    <xf numFmtId="164" fontId="0" fillId="7" borderId="8" xfId="0" applyNumberFormat="1" applyFill="1" applyBorder="1" applyAlignment="1" applyProtection="1">
      <alignment horizontal="right" vertical="center" wrapText="1"/>
    </xf>
    <xf numFmtId="164" fontId="0" fillId="7" borderId="8" xfId="0" applyNumberFormat="1" applyFill="1" applyBorder="1" applyAlignment="1" applyProtection="1">
      <alignment vertical="center" wrapText="1"/>
    </xf>
    <xf numFmtId="0" fontId="0" fillId="7" borderId="8" xfId="0" applyFill="1" applyBorder="1" applyAlignment="1" applyProtection="1">
      <alignment vertical="center" wrapText="1"/>
    </xf>
    <xf numFmtId="164" fontId="0" fillId="7" borderId="7" xfId="0" applyNumberFormat="1" applyFill="1" applyBorder="1" applyAlignment="1" applyProtection="1">
      <alignment horizontal="center" vertical="center" wrapText="1"/>
    </xf>
    <xf numFmtId="0" fontId="0" fillId="7" borderId="9" xfId="0" applyFill="1" applyBorder="1" applyAlignment="1" applyProtection="1">
      <alignment horizontal="center" vertical="center" wrapText="1"/>
    </xf>
    <xf numFmtId="0" fontId="3" fillId="3" borderId="0" xfId="0" applyFont="1" applyFill="1" applyAlignment="1" applyProtection="1">
      <alignment vertical="top" wrapText="1"/>
    </xf>
    <xf numFmtId="0" fontId="30" fillId="3" borderId="0" xfId="0" applyFont="1" applyFill="1" applyAlignment="1" applyProtection="1">
      <alignment vertical="center" wrapText="1"/>
    </xf>
    <xf numFmtId="0" fontId="3" fillId="7" borderId="5" xfId="0" applyFont="1" applyFill="1" applyBorder="1" applyAlignment="1" applyProtection="1">
      <alignment horizontal="right" vertical="center"/>
    </xf>
    <xf numFmtId="0" fontId="6" fillId="7" borderId="27" xfId="0" applyFont="1" applyFill="1" applyBorder="1" applyAlignment="1" applyProtection="1">
      <alignment horizontal="center" vertical="center" wrapText="1"/>
    </xf>
    <xf numFmtId="0" fontId="0" fillId="3" borderId="0" xfId="0" applyFill="1" applyAlignment="1" applyProtection="1">
      <alignment vertical="center" wrapText="1"/>
    </xf>
    <xf numFmtId="0" fontId="6" fillId="7" borderId="15" xfId="0" applyFont="1" applyFill="1" applyBorder="1" applyAlignment="1" applyProtection="1">
      <alignment horizontal="center" vertical="center" wrapText="1"/>
    </xf>
    <xf numFmtId="0" fontId="0" fillId="3" borderId="8" xfId="0" applyFill="1" applyBorder="1" applyAlignment="1" applyProtection="1">
      <alignment vertical="center" wrapText="1"/>
    </xf>
    <xf numFmtId="0" fontId="5" fillId="5" borderId="7" xfId="0" applyFont="1" applyFill="1" applyBorder="1" applyProtection="1"/>
    <xf numFmtId="0" fontId="5" fillId="5" borderId="8" xfId="0" applyFont="1" applyFill="1" applyBorder="1" applyProtection="1"/>
    <xf numFmtId="0" fontId="0" fillId="5" borderId="8" xfId="0" applyFill="1" applyBorder="1" applyProtection="1"/>
    <xf numFmtId="0" fontId="0" fillId="5" borderId="8" xfId="0" applyFill="1" applyBorder="1" applyAlignment="1" applyProtection="1">
      <alignment horizontal="center"/>
    </xf>
    <xf numFmtId="0" fontId="6" fillId="5" borderId="8" xfId="0" applyFont="1" applyFill="1" applyBorder="1" applyAlignment="1" applyProtection="1">
      <alignment horizontal="center"/>
    </xf>
    <xf numFmtId="0" fontId="0" fillId="5" borderId="9" xfId="0" applyFill="1" applyBorder="1" applyProtection="1"/>
    <xf numFmtId="0" fontId="3" fillId="7" borderId="10" xfId="0" applyFont="1" applyFill="1" applyBorder="1" applyAlignment="1" applyProtection="1">
      <alignment horizontal="right" vertical="center"/>
    </xf>
    <xf numFmtId="0" fontId="3" fillId="7" borderId="11" xfId="0" applyFont="1" applyFill="1" applyBorder="1" applyAlignment="1" applyProtection="1">
      <alignment horizontal="right" vertical="center"/>
    </xf>
    <xf numFmtId="0" fontId="9" fillId="7" borderId="11" xfId="0" applyFont="1" applyFill="1" applyBorder="1" applyProtection="1"/>
    <xf numFmtId="0" fontId="9" fillId="7" borderId="11" xfId="0" applyFont="1" applyFill="1" applyBorder="1" applyAlignment="1" applyProtection="1">
      <alignment horizontal="center"/>
    </xf>
    <xf numFmtId="9" fontId="0" fillId="7" borderId="29" xfId="0" applyNumberFormat="1" applyFill="1" applyBorder="1" applyAlignment="1" applyProtection="1">
      <alignment horizontal="center" vertical="center"/>
    </xf>
    <xf numFmtId="0" fontId="9" fillId="7" borderId="12" xfId="0" applyFont="1" applyFill="1" applyBorder="1" applyAlignment="1" applyProtection="1">
      <alignment wrapText="1"/>
    </xf>
    <xf numFmtId="0" fontId="9" fillId="3" borderId="0" xfId="0" applyFont="1" applyFill="1" applyAlignment="1" applyProtection="1">
      <alignment wrapText="1"/>
    </xf>
    <xf numFmtId="167" fontId="0" fillId="7" borderId="8" xfId="0" applyNumberFormat="1" applyFill="1" applyBorder="1" applyAlignment="1" applyProtection="1">
      <alignment horizontal="center" vertical="center"/>
    </xf>
    <xf numFmtId="167" fontId="0" fillId="5" borderId="8" xfId="0" applyNumberFormat="1" applyFill="1" applyBorder="1" applyAlignment="1" applyProtection="1">
      <alignment horizontal="center" vertical="center"/>
    </xf>
    <xf numFmtId="0" fontId="0" fillId="5" borderId="8" xfId="0" applyFill="1" applyBorder="1" applyAlignment="1" applyProtection="1">
      <alignment vertical="center"/>
    </xf>
    <xf numFmtId="0" fontId="0" fillId="7" borderId="9" xfId="0" applyFill="1" applyBorder="1" applyAlignment="1" applyProtection="1">
      <alignment vertical="center" wrapText="1"/>
    </xf>
    <xf numFmtId="0" fontId="0" fillId="4" borderId="0" xfId="0" applyFill="1" applyAlignment="1" applyProtection="1">
      <alignment wrapText="1"/>
    </xf>
    <xf numFmtId="0" fontId="16" fillId="6" borderId="12" xfId="0" applyFont="1" applyFill="1" applyBorder="1" applyAlignment="1" applyProtection="1">
      <alignment wrapText="1"/>
    </xf>
    <xf numFmtId="0" fontId="5" fillId="3" borderId="0" xfId="0" applyFont="1" applyFill="1" applyAlignment="1" applyProtection="1">
      <alignment wrapText="1"/>
    </xf>
    <xf numFmtId="0" fontId="5" fillId="5" borderId="3" xfId="0" applyFont="1" applyFill="1" applyBorder="1" applyProtection="1"/>
    <xf numFmtId="0" fontId="0" fillId="7" borderId="0" xfId="0" applyFill="1" applyAlignment="1" applyProtection="1">
      <alignment horizontal="right" vertical="center" wrapText="1"/>
    </xf>
    <xf numFmtId="1" fontId="0" fillId="7" borderId="0" xfId="0" applyNumberFormat="1" applyFill="1" applyAlignment="1" applyProtection="1">
      <alignment horizontal="right" vertical="center"/>
    </xf>
    <xf numFmtId="1" fontId="0" fillId="7" borderId="0" xfId="0" applyNumberFormat="1" applyFill="1" applyAlignment="1" applyProtection="1">
      <alignment vertical="center"/>
    </xf>
    <xf numFmtId="1" fontId="0" fillId="7" borderId="0" xfId="0" applyNumberFormat="1" applyFill="1" applyAlignment="1" applyProtection="1">
      <alignment horizontal="right" vertical="center" wrapText="1"/>
    </xf>
    <xf numFmtId="167" fontId="0" fillId="7" borderId="0" xfId="0" applyNumberFormat="1" applyFill="1" applyAlignment="1" applyProtection="1">
      <alignment horizontal="right" vertical="center"/>
    </xf>
    <xf numFmtId="2" fontId="0" fillId="7" borderId="0" xfId="0" applyNumberFormat="1" applyFill="1" applyAlignment="1" applyProtection="1">
      <alignment horizontal="right" vertical="center"/>
    </xf>
    <xf numFmtId="174" fontId="0" fillId="7" borderId="0" xfId="0" applyNumberFormat="1" applyFill="1" applyAlignment="1" applyProtection="1">
      <alignment horizontal="right" vertical="center"/>
    </xf>
    <xf numFmtId="1" fontId="0" fillId="7" borderId="6" xfId="0" applyNumberFormat="1" applyFill="1" applyBorder="1" applyAlignment="1" applyProtection="1">
      <alignment horizontal="right" vertical="center"/>
    </xf>
    <xf numFmtId="2" fontId="0" fillId="7" borderId="0" xfId="0" applyNumberFormat="1" applyFill="1" applyProtection="1"/>
    <xf numFmtId="168" fontId="0" fillId="7" borderId="0" xfId="0" applyNumberFormat="1" applyFill="1" applyProtection="1"/>
    <xf numFmtId="1" fontId="0" fillId="7" borderId="0" xfId="0" applyNumberFormat="1" applyFill="1" applyAlignment="1" applyProtection="1">
      <alignment horizontal="center" vertical="center"/>
    </xf>
    <xf numFmtId="1" fontId="0" fillId="7" borderId="0" xfId="0" applyNumberFormat="1" applyFill="1" applyProtection="1"/>
    <xf numFmtId="3" fontId="0" fillId="7" borderId="0" xfId="0" applyNumberFormat="1" applyFill="1" applyProtection="1"/>
    <xf numFmtId="3" fontId="0" fillId="7" borderId="8" xfId="0" applyNumberFormat="1" applyFill="1" applyBorder="1" applyProtection="1"/>
    <xf numFmtId="1" fontId="0" fillId="7" borderId="8" xfId="0" applyNumberFormat="1" applyFill="1" applyBorder="1" applyAlignment="1" applyProtection="1">
      <alignment horizontal="right" vertical="center"/>
    </xf>
    <xf numFmtId="1" fontId="0" fillId="7" borderId="9" xfId="0" applyNumberFormat="1" applyFill="1" applyBorder="1" applyAlignment="1" applyProtection="1">
      <alignment horizontal="right" vertical="center"/>
    </xf>
    <xf numFmtId="0" fontId="5" fillId="5" borderId="0" xfId="0" applyFont="1" applyFill="1" applyProtection="1"/>
    <xf numFmtId="0" fontId="0" fillId="5" borderId="6" xfId="0" applyFill="1" applyBorder="1" applyProtection="1"/>
    <xf numFmtId="0" fontId="0" fillId="7" borderId="0" xfId="0" applyFill="1" applyAlignment="1" applyProtection="1">
      <alignment horizontal="center" vertical="center" wrapText="1"/>
    </xf>
    <xf numFmtId="1" fontId="0" fillId="7" borderId="8" xfId="0" applyNumberFormat="1" applyFill="1" applyBorder="1" applyAlignment="1" applyProtection="1">
      <alignment horizontal="center" vertical="center"/>
    </xf>
    <xf numFmtId="0" fontId="0" fillId="7" borderId="6" xfId="0" applyFill="1" applyBorder="1" applyAlignment="1" applyProtection="1">
      <alignment wrapText="1"/>
    </xf>
    <xf numFmtId="167" fontId="0" fillId="7" borderId="0" xfId="0" applyNumberFormat="1" applyFill="1" applyAlignment="1" applyProtection="1">
      <alignment vertical="center"/>
    </xf>
    <xf numFmtId="9" fontId="0" fillId="7" borderId="0" xfId="0" applyNumberFormat="1" applyFill="1" applyAlignment="1" applyProtection="1">
      <alignment vertical="center"/>
    </xf>
    <xf numFmtId="168" fontId="0" fillId="7" borderId="8" xfId="0" applyNumberFormat="1" applyFill="1" applyBorder="1" applyProtection="1"/>
    <xf numFmtId="0" fontId="0" fillId="7" borderId="9" xfId="0" applyFill="1" applyBorder="1" applyProtection="1"/>
    <xf numFmtId="0" fontId="5" fillId="5" borderId="3" xfId="0" applyFont="1" applyFill="1" applyBorder="1" applyAlignment="1" applyProtection="1">
      <alignment vertical="center" wrapText="1"/>
    </xf>
    <xf numFmtId="0" fontId="5" fillId="5" borderId="4" xfId="0" applyFont="1" applyFill="1" applyBorder="1" applyAlignment="1" applyProtection="1">
      <alignment vertical="center" wrapText="1"/>
    </xf>
    <xf numFmtId="0" fontId="5" fillId="3" borderId="0" xfId="0" applyFont="1" applyFill="1" applyAlignment="1" applyProtection="1">
      <alignment horizontal="left" vertical="center" wrapText="1"/>
    </xf>
    <xf numFmtId="2" fontId="0" fillId="7" borderId="8" xfId="0" applyNumberFormat="1" applyFill="1" applyBorder="1" applyProtection="1"/>
    <xf numFmtId="0" fontId="0" fillId="3" borderId="0" xfId="0" applyFill="1" applyAlignment="1" applyProtection="1">
      <alignment horizontal="right" vertical="center"/>
    </xf>
    <xf numFmtId="0" fontId="5" fillId="5" borderId="2" xfId="0" applyFont="1" applyFill="1" applyBorder="1" applyAlignment="1" applyProtection="1">
      <alignment horizontal="left" vertical="center"/>
    </xf>
    <xf numFmtId="0" fontId="5" fillId="5" borderId="3" xfId="0" applyFont="1" applyFill="1" applyBorder="1" applyAlignment="1" applyProtection="1">
      <alignment horizontal="left" vertical="center"/>
    </xf>
    <xf numFmtId="2" fontId="0" fillId="7" borderId="0" xfId="0" applyNumberFormat="1" applyFill="1" applyAlignment="1" applyProtection="1">
      <alignment vertical="center"/>
    </xf>
    <xf numFmtId="9" fontId="0" fillId="7" borderId="22" xfId="0" applyNumberFormat="1" applyFill="1" applyBorder="1" applyAlignment="1" applyProtection="1">
      <alignment horizontal="center" vertical="center"/>
    </xf>
    <xf numFmtId="0" fontId="5" fillId="5" borderId="3" xfId="0" applyFont="1" applyFill="1" applyBorder="1" applyAlignment="1" applyProtection="1">
      <alignment horizontal="left"/>
    </xf>
    <xf numFmtId="0" fontId="5" fillId="5" borderId="4" xfId="0" applyFont="1" applyFill="1" applyBorder="1" applyAlignment="1" applyProtection="1">
      <alignment horizontal="left"/>
    </xf>
    <xf numFmtId="0" fontId="5" fillId="3" borderId="0" xfId="0" applyFont="1" applyFill="1" applyAlignment="1" applyProtection="1">
      <alignment horizontal="left"/>
    </xf>
    <xf numFmtId="168" fontId="0" fillId="7" borderId="0" xfId="0" applyNumberFormat="1" applyFill="1" applyAlignment="1" applyProtection="1">
      <alignment vertical="center"/>
    </xf>
    <xf numFmtId="0" fontId="0" fillId="7" borderId="0" xfId="0" applyFill="1" applyAlignment="1" applyProtection="1">
      <alignment horizontal="right"/>
    </xf>
    <xf numFmtId="0" fontId="0" fillId="7" borderId="8" xfId="0" applyFill="1" applyBorder="1" applyAlignment="1" applyProtection="1">
      <alignment horizontal="right" vertical="center"/>
    </xf>
    <xf numFmtId="0" fontId="0" fillId="7" borderId="7" xfId="0" applyFill="1" applyBorder="1" applyAlignment="1" applyProtection="1">
      <alignment vertical="center"/>
    </xf>
    <xf numFmtId="0" fontId="0" fillId="7" borderId="22" xfId="0" applyFill="1" applyBorder="1" applyProtection="1"/>
    <xf numFmtId="0" fontId="0" fillId="7" borderId="8" xfId="0" applyFill="1" applyBorder="1" applyAlignment="1" applyProtection="1">
      <alignment horizontal="right"/>
    </xf>
    <xf numFmtId="0" fontId="0" fillId="7" borderId="2" xfId="0" applyFill="1" applyBorder="1" applyAlignment="1" applyProtection="1">
      <alignment horizontal="right"/>
    </xf>
    <xf numFmtId="1" fontId="0" fillId="7" borderId="3" xfId="0" applyNumberFormat="1" applyFill="1" applyBorder="1" applyAlignment="1" applyProtection="1">
      <alignment horizontal="right"/>
    </xf>
    <xf numFmtId="168" fontId="0" fillId="7" borderId="3" xfId="0" applyNumberFormat="1" applyFill="1" applyBorder="1" applyProtection="1"/>
    <xf numFmtId="0" fontId="0" fillId="7" borderId="4" xfId="0" applyFill="1" applyBorder="1" applyProtection="1"/>
    <xf numFmtId="0" fontId="0" fillId="7" borderId="5" xfId="0" applyFill="1" applyBorder="1" applyAlignment="1" applyProtection="1">
      <alignment horizontal="right"/>
    </xf>
    <xf numFmtId="1" fontId="0" fillId="7" borderId="0" xfId="0" applyNumberFormat="1" applyFill="1" applyAlignment="1" applyProtection="1">
      <alignment horizontal="right"/>
    </xf>
    <xf numFmtId="0" fontId="0" fillId="7" borderId="7" xfId="0" applyFill="1" applyBorder="1" applyAlignment="1" applyProtection="1">
      <alignment horizontal="right"/>
    </xf>
    <xf numFmtId="1" fontId="0" fillId="7" borderId="8" xfId="0" applyNumberFormat="1" applyFill="1" applyBorder="1" applyProtection="1"/>
    <xf numFmtId="1" fontId="0" fillId="7" borderId="3" xfId="0" applyNumberFormat="1" applyFill="1" applyBorder="1" applyProtection="1"/>
    <xf numFmtId="1" fontId="0" fillId="7" borderId="6" xfId="0" applyNumberFormat="1" applyFill="1" applyBorder="1" applyProtection="1"/>
    <xf numFmtId="9" fontId="0" fillId="7" borderId="0" xfId="0" applyNumberFormat="1" applyFill="1" applyAlignment="1" applyProtection="1">
      <alignment horizontal="center"/>
    </xf>
    <xf numFmtId="1" fontId="0" fillId="7" borderId="8" xfId="0" applyNumberFormat="1" applyFill="1" applyBorder="1" applyAlignment="1" applyProtection="1">
      <alignment horizontal="right"/>
    </xf>
    <xf numFmtId="1" fontId="0" fillId="3" borderId="0" xfId="0" applyNumberFormat="1" applyFill="1" applyAlignment="1" applyProtection="1">
      <alignment horizontal="right"/>
    </xf>
    <xf numFmtId="1" fontId="0" fillId="3" borderId="0" xfId="0" applyNumberFormat="1" applyFill="1" applyAlignment="1" applyProtection="1">
      <alignment horizontal="center"/>
    </xf>
    <xf numFmtId="0" fontId="5" fillId="5" borderId="2" xfId="0" applyFont="1" applyFill="1" applyBorder="1" applyAlignment="1" applyProtection="1">
      <alignment horizontal="left"/>
    </xf>
    <xf numFmtId="0" fontId="0" fillId="7" borderId="5" xfId="0" applyFill="1" applyBorder="1" applyAlignment="1" applyProtection="1">
      <alignment horizontal="right" wrapText="1"/>
    </xf>
    <xf numFmtId="0" fontId="0" fillId="7" borderId="7" xfId="0" applyFill="1" applyBorder="1" applyAlignment="1" applyProtection="1">
      <alignment horizontal="right" wrapText="1"/>
    </xf>
    <xf numFmtId="1" fontId="0" fillId="5" borderId="3" xfId="0" applyNumberFormat="1" applyFill="1" applyBorder="1" applyProtection="1"/>
    <xf numFmtId="0" fontId="0" fillId="7" borderId="0" xfId="0" applyFill="1" applyAlignment="1" applyProtection="1">
      <alignment horizontal="right" wrapText="1"/>
    </xf>
    <xf numFmtId="164" fontId="0" fillId="3" borderId="0" xfId="0" applyNumberFormat="1" applyFill="1" applyProtection="1"/>
    <xf numFmtId="0" fontId="0" fillId="7" borderId="6" xfId="0" applyFill="1" applyBorder="1" applyAlignment="1" applyProtection="1">
      <alignment vertical="center"/>
    </xf>
    <xf numFmtId="0" fontId="0" fillId="7" borderId="9" xfId="0" applyFill="1" applyBorder="1" applyAlignment="1" applyProtection="1">
      <alignment vertical="center"/>
    </xf>
    <xf numFmtId="0" fontId="5" fillId="5" borderId="5" xfId="0" applyFont="1" applyFill="1" applyBorder="1" applyAlignment="1" applyProtection="1">
      <alignment horizontal="left"/>
    </xf>
    <xf numFmtId="0" fontId="5" fillId="5" borderId="0" xfId="0" applyFont="1" applyFill="1" applyAlignment="1" applyProtection="1">
      <alignment horizontal="left"/>
    </xf>
    <xf numFmtId="1" fontId="0" fillId="5" borderId="0" xfId="0" applyNumberFormat="1" applyFill="1" applyProtection="1"/>
    <xf numFmtId="164" fontId="0" fillId="7" borderId="8" xfId="0" applyNumberFormat="1" applyFill="1" applyBorder="1" applyAlignment="1" applyProtection="1">
      <alignment horizontal="center" vertical="center"/>
    </xf>
    <xf numFmtId="164" fontId="0" fillId="7" borderId="8" xfId="0" applyNumberFormat="1" applyFill="1" applyBorder="1" applyAlignment="1" applyProtection="1">
      <alignment vertical="center"/>
    </xf>
    <xf numFmtId="0" fontId="0" fillId="8" borderId="19" xfId="0" applyFill="1" applyBorder="1" applyAlignment="1" applyProtection="1">
      <alignment horizontal="center" vertical="center" wrapText="1"/>
    </xf>
    <xf numFmtId="164" fontId="0" fillId="7" borderId="0" xfId="0" applyNumberFormat="1" applyFill="1" applyAlignment="1" applyProtection="1">
      <alignment horizontal="right" vertical="center"/>
    </xf>
    <xf numFmtId="0" fontId="5" fillId="7" borderId="6" xfId="0" applyFont="1" applyFill="1" applyBorder="1" applyAlignment="1" applyProtection="1">
      <alignment horizontal="left"/>
    </xf>
    <xf numFmtId="164" fontId="0" fillId="7" borderId="0" xfId="0" applyNumberFormat="1" applyFill="1" applyAlignment="1" applyProtection="1">
      <alignment horizontal="center" vertical="center"/>
    </xf>
    <xf numFmtId="164" fontId="0" fillId="7" borderId="0" xfId="0" applyNumberFormat="1" applyFill="1" applyAlignment="1" applyProtection="1">
      <alignment horizontal="right"/>
    </xf>
    <xf numFmtId="43" fontId="0" fillId="7" borderId="0" xfId="0" applyNumberFormat="1" applyFill="1" applyAlignment="1" applyProtection="1">
      <alignment horizontal="right"/>
    </xf>
    <xf numFmtId="173" fontId="0" fillId="7" borderId="0" xfId="0" applyNumberFormat="1" applyFill="1" applyAlignment="1" applyProtection="1">
      <alignment horizontal="right"/>
    </xf>
    <xf numFmtId="164" fontId="0" fillId="7" borderId="8" xfId="0" applyNumberFormat="1" applyFill="1" applyBorder="1" applyAlignment="1" applyProtection="1">
      <alignment horizontal="right"/>
    </xf>
    <xf numFmtId="0" fontId="0" fillId="5" borderId="3" xfId="0" applyFill="1" applyBorder="1" applyAlignment="1" applyProtection="1">
      <alignment horizontal="right"/>
    </xf>
    <xf numFmtId="1" fontId="0" fillId="3" borderId="0" xfId="0" applyNumberFormat="1" applyFill="1" applyAlignment="1" applyProtection="1">
      <alignment horizontal="right" vertical="center"/>
    </xf>
    <xf numFmtId="164" fontId="0" fillId="7" borderId="0" xfId="0" applyNumberFormat="1" applyFill="1" applyProtection="1"/>
    <xf numFmtId="3" fontId="0" fillId="7" borderId="0" xfId="0" applyNumberFormat="1" applyFill="1" applyAlignment="1" applyProtection="1">
      <alignment horizontal="right"/>
    </xf>
    <xf numFmtId="164" fontId="0" fillId="7" borderId="6" xfId="0" applyNumberFormat="1" applyFill="1" applyBorder="1" applyAlignment="1" applyProtection="1">
      <alignment horizontal="right"/>
    </xf>
    <xf numFmtId="0" fontId="0" fillId="5" borderId="5" xfId="0" applyFill="1" applyBorder="1" applyAlignment="1" applyProtection="1">
      <alignment horizontal="right"/>
    </xf>
    <xf numFmtId="3" fontId="0" fillId="5" borderId="0" xfId="0" applyNumberFormat="1" applyFill="1" applyAlignment="1" applyProtection="1">
      <alignment horizontal="right"/>
    </xf>
    <xf numFmtId="164" fontId="0" fillId="5" borderId="0" xfId="0" applyNumberFormat="1" applyFill="1" applyAlignment="1" applyProtection="1">
      <alignment horizontal="right"/>
    </xf>
    <xf numFmtId="164" fontId="0" fillId="5" borderId="6" xfId="0" applyNumberFormat="1" applyFill="1" applyBorder="1" applyAlignment="1" applyProtection="1">
      <alignment horizontal="right"/>
    </xf>
    <xf numFmtId="3" fontId="0" fillId="7" borderId="0" xfId="0" applyNumberFormat="1" applyFill="1" applyAlignment="1" applyProtection="1">
      <alignment horizontal="right" vertical="center"/>
    </xf>
    <xf numFmtId="3" fontId="0" fillId="7" borderId="6" xfId="0" applyNumberFormat="1" applyFill="1" applyBorder="1" applyAlignment="1" applyProtection="1">
      <alignment horizontal="right" vertical="center"/>
    </xf>
    <xf numFmtId="0" fontId="5" fillId="7" borderId="7" xfId="0" applyFont="1" applyFill="1" applyBorder="1" applyAlignment="1" applyProtection="1">
      <alignment horizontal="right"/>
    </xf>
    <xf numFmtId="3" fontId="0" fillId="7" borderId="8" xfId="0" applyNumberFormat="1" applyFill="1" applyBorder="1" applyAlignment="1" applyProtection="1">
      <alignment horizontal="right"/>
    </xf>
    <xf numFmtId="3" fontId="0" fillId="7" borderId="9" xfId="0" applyNumberFormat="1" applyFill="1" applyBorder="1" applyAlignment="1" applyProtection="1">
      <alignment horizontal="right"/>
    </xf>
    <xf numFmtId="0" fontId="9" fillId="15" borderId="0" xfId="0" applyFont="1" applyFill="1" applyProtection="1"/>
    <xf numFmtId="0" fontId="8" fillId="11" borderId="10" xfId="0" applyFont="1" applyFill="1" applyBorder="1" applyAlignment="1" applyProtection="1">
      <alignment horizontal="center" vertical="center"/>
    </xf>
    <xf numFmtId="0" fontId="53" fillId="11" borderId="47" xfId="0" applyFont="1" applyFill="1" applyBorder="1" applyAlignment="1" applyProtection="1">
      <alignment horizontal="center" vertical="center" wrapText="1"/>
    </xf>
    <xf numFmtId="0" fontId="53" fillId="11" borderId="46" xfId="0" applyFont="1" applyFill="1" applyBorder="1" applyAlignment="1" applyProtection="1">
      <alignment horizontal="center" vertical="center" wrapText="1"/>
    </xf>
    <xf numFmtId="0" fontId="10" fillId="3" borderId="5" xfId="0" applyFont="1" applyFill="1" applyBorder="1" applyAlignment="1" applyProtection="1">
      <alignment horizontal="center" vertical="top" wrapText="1"/>
    </xf>
    <xf numFmtId="0" fontId="10" fillId="3" borderId="0" xfId="0" applyFont="1" applyFill="1" applyAlignment="1" applyProtection="1">
      <alignment horizontal="center" vertical="top" wrapText="1"/>
    </xf>
    <xf numFmtId="0" fontId="10" fillId="3" borderId="7"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20" fillId="3" borderId="3" xfId="0" applyFont="1" applyFill="1" applyBorder="1" applyAlignment="1" applyProtection="1">
      <alignment horizontal="left" vertical="center" wrapText="1"/>
    </xf>
    <xf numFmtId="0" fontId="20" fillId="3" borderId="0" xfId="0" applyFont="1" applyFill="1" applyAlignment="1" applyProtection="1">
      <alignment horizontal="left" vertical="center" wrapText="1"/>
    </xf>
    <xf numFmtId="0" fontId="2" fillId="3" borderId="0" xfId="0" applyFont="1" applyFill="1" applyAlignment="1" applyProtection="1">
      <alignment horizontal="left"/>
    </xf>
    <xf numFmtId="0" fontId="2" fillId="3" borderId="6" xfId="0" applyFont="1" applyFill="1" applyBorder="1" applyAlignment="1" applyProtection="1">
      <alignment horizontal="left"/>
    </xf>
    <xf numFmtId="0" fontId="12" fillId="18" borderId="10" xfId="0" applyFont="1" applyFill="1" applyBorder="1" applyAlignment="1" applyProtection="1">
      <alignment horizontal="center" vertical="center"/>
    </xf>
    <xf numFmtId="0" fontId="12" fillId="18" borderId="11" xfId="0" applyFont="1" applyFill="1" applyBorder="1" applyAlignment="1" applyProtection="1">
      <alignment horizontal="center" vertical="center"/>
    </xf>
    <xf numFmtId="0" fontId="12" fillId="18" borderId="12" xfId="0" applyFont="1" applyFill="1" applyBorder="1" applyAlignment="1" applyProtection="1">
      <alignment horizontal="center" vertical="center"/>
    </xf>
    <xf numFmtId="0" fontId="51" fillId="26" borderId="10" xfId="0" applyFont="1" applyFill="1" applyBorder="1" applyAlignment="1" applyProtection="1">
      <alignment horizontal="center" vertical="center"/>
    </xf>
    <xf numFmtId="0" fontId="12" fillId="26" borderId="11" xfId="0" applyFont="1" applyFill="1" applyBorder="1" applyAlignment="1" applyProtection="1">
      <alignment horizontal="center" vertical="center"/>
    </xf>
    <xf numFmtId="0" fontId="12" fillId="26" borderId="12" xfId="0" applyFont="1" applyFill="1" applyBorder="1" applyAlignment="1" applyProtection="1">
      <alignment horizontal="center" vertical="center"/>
    </xf>
    <xf numFmtId="0" fontId="10" fillId="3" borderId="5" xfId="0" applyFont="1" applyFill="1" applyBorder="1" applyAlignment="1" applyProtection="1">
      <alignment horizontal="center" vertical="center"/>
    </xf>
    <xf numFmtId="0" fontId="10" fillId="3" borderId="0" xfId="0" applyFont="1" applyFill="1" applyAlignment="1" applyProtection="1">
      <alignment horizontal="center" vertical="center"/>
    </xf>
    <xf numFmtId="0" fontId="3" fillId="11" borderId="27" xfId="0" applyFont="1" applyFill="1" applyBorder="1" applyAlignment="1">
      <alignment horizontal="center" vertical="center"/>
    </xf>
    <xf numFmtId="0" fontId="3" fillId="11" borderId="15" xfId="0" applyFont="1" applyFill="1" applyBorder="1" applyAlignment="1">
      <alignment horizontal="center" vertical="center"/>
    </xf>
    <xf numFmtId="0" fontId="56" fillId="16" borderId="0" xfId="0" applyFont="1" applyFill="1" applyAlignment="1" applyProtection="1">
      <alignment horizontal="center" vertical="center" wrapText="1"/>
    </xf>
    <xf numFmtId="0" fontId="56" fillId="16" borderId="6" xfId="0" applyFont="1" applyFill="1" applyBorder="1" applyAlignment="1" applyProtection="1">
      <alignment horizontal="center" vertical="center" wrapText="1"/>
    </xf>
    <xf numFmtId="0" fontId="56" fillId="6" borderId="3" xfId="0" applyFont="1" applyFill="1" applyBorder="1" applyAlignment="1" applyProtection="1">
      <alignment horizontal="center" vertical="center"/>
    </xf>
    <xf numFmtId="0" fontId="56" fillId="6" borderId="4" xfId="0" applyFont="1" applyFill="1" applyBorder="1" applyAlignment="1" applyProtection="1">
      <alignment horizontal="center" vertical="center"/>
    </xf>
    <xf numFmtId="0" fontId="15" fillId="16" borderId="5" xfId="0" applyFont="1" applyFill="1" applyBorder="1" applyAlignment="1" applyProtection="1">
      <alignment horizontal="right" vertical="center"/>
    </xf>
    <xf numFmtId="0" fontId="15" fillId="16" borderId="0" xfId="0" applyFont="1" applyFill="1" applyAlignment="1" applyProtection="1">
      <alignment horizontal="right" vertical="center"/>
    </xf>
    <xf numFmtId="0" fontId="15" fillId="16" borderId="7" xfId="0" applyFont="1" applyFill="1" applyBorder="1" applyAlignment="1" applyProtection="1">
      <alignment horizontal="right" vertical="center"/>
    </xf>
    <xf numFmtId="0" fontId="15" fillId="16" borderId="8" xfId="0" applyFont="1" applyFill="1" applyBorder="1" applyAlignment="1" applyProtection="1">
      <alignment horizontal="right" vertical="center"/>
    </xf>
    <xf numFmtId="0" fontId="56" fillId="3" borderId="0" xfId="0" applyFont="1" applyFill="1" applyAlignment="1" applyProtection="1">
      <alignment horizontal="left" wrapText="1"/>
    </xf>
    <xf numFmtId="0" fontId="6" fillId="18" borderId="2" xfId="0" applyFont="1" applyFill="1" applyBorder="1" applyAlignment="1" applyProtection="1">
      <alignment horizontal="center" vertical="center"/>
    </xf>
    <xf numFmtId="0" fontId="6" fillId="18" borderId="3" xfId="0" applyFont="1" applyFill="1" applyBorder="1" applyAlignment="1" applyProtection="1">
      <alignment horizontal="center" vertical="center"/>
    </xf>
    <xf numFmtId="0" fontId="6" fillId="18" borderId="4" xfId="0" applyFont="1" applyFill="1" applyBorder="1" applyAlignment="1" applyProtection="1">
      <alignment horizontal="center" vertical="center"/>
    </xf>
    <xf numFmtId="0" fontId="6" fillId="18" borderId="5" xfId="0" applyFont="1" applyFill="1" applyBorder="1" applyAlignment="1" applyProtection="1">
      <alignment horizontal="center" vertical="center"/>
    </xf>
    <xf numFmtId="0" fontId="6" fillId="18" borderId="0" xfId="0" applyFont="1" applyFill="1" applyAlignment="1" applyProtection="1">
      <alignment horizontal="center" vertical="center"/>
    </xf>
    <xf numFmtId="0" fontId="6" fillId="18" borderId="6" xfId="0" applyFont="1" applyFill="1" applyBorder="1" applyAlignment="1" applyProtection="1">
      <alignment horizontal="center" vertical="center"/>
    </xf>
    <xf numFmtId="0" fontId="6" fillId="18" borderId="7" xfId="0" applyFont="1" applyFill="1" applyBorder="1" applyAlignment="1" applyProtection="1">
      <alignment horizontal="center" vertical="center"/>
    </xf>
    <xf numFmtId="0" fontId="6" fillId="18" borderId="8" xfId="0" applyFont="1" applyFill="1" applyBorder="1" applyAlignment="1" applyProtection="1">
      <alignment horizontal="center" vertical="center"/>
    </xf>
    <xf numFmtId="0" fontId="6" fillId="18" borderId="9" xfId="0" applyFont="1" applyFill="1" applyBorder="1" applyAlignment="1" applyProtection="1">
      <alignment horizontal="center" vertical="center"/>
    </xf>
    <xf numFmtId="0" fontId="0" fillId="11" borderId="2" xfId="0" applyFill="1" applyBorder="1" applyAlignment="1" applyProtection="1">
      <alignment horizontal="left" vertical="top" wrapText="1"/>
    </xf>
    <xf numFmtId="0" fontId="0" fillId="11" borderId="3" xfId="0" applyFill="1" applyBorder="1" applyAlignment="1" applyProtection="1">
      <alignment horizontal="left" vertical="top" wrapText="1"/>
    </xf>
    <xf numFmtId="0" fontId="0" fillId="11" borderId="4" xfId="0" applyFill="1" applyBorder="1" applyAlignment="1" applyProtection="1">
      <alignment horizontal="left" vertical="top" wrapText="1"/>
    </xf>
    <xf numFmtId="0" fontId="0" fillId="11" borderId="7" xfId="0" applyFill="1" applyBorder="1" applyAlignment="1" applyProtection="1">
      <alignment horizontal="left" vertical="top" wrapText="1"/>
    </xf>
    <xf numFmtId="0" fontId="0" fillId="11" borderId="8" xfId="0" applyFill="1" applyBorder="1" applyAlignment="1" applyProtection="1">
      <alignment horizontal="left" vertical="top" wrapText="1"/>
    </xf>
    <xf numFmtId="0" fontId="0" fillId="11" borderId="9" xfId="0" applyFill="1" applyBorder="1" applyAlignment="1" applyProtection="1">
      <alignment horizontal="left" vertical="top" wrapText="1"/>
    </xf>
    <xf numFmtId="0" fontId="15" fillId="16" borderId="2" xfId="0" applyFont="1" applyFill="1" applyBorder="1" applyAlignment="1" applyProtection="1">
      <alignment horizontal="right" vertical="center"/>
    </xf>
    <xf numFmtId="0" fontId="15" fillId="16" borderId="3" xfId="0" applyFont="1" applyFill="1" applyBorder="1" applyAlignment="1" applyProtection="1">
      <alignment horizontal="right" vertical="center"/>
    </xf>
    <xf numFmtId="0" fontId="15" fillId="16" borderId="5" xfId="0" applyFont="1" applyFill="1" applyBorder="1" applyAlignment="1" applyProtection="1">
      <alignment horizontal="right" vertical="center" wrapText="1"/>
    </xf>
    <xf numFmtId="0" fontId="15" fillId="16" borderId="0" xfId="0" applyFont="1" applyFill="1" applyAlignment="1" applyProtection="1">
      <alignment horizontal="right" vertical="center" wrapText="1"/>
    </xf>
    <xf numFmtId="0" fontId="25" fillId="11" borderId="2" xfId="0" applyFont="1" applyFill="1" applyBorder="1" applyAlignment="1" applyProtection="1">
      <alignment horizontal="left" vertical="center" wrapText="1"/>
    </xf>
    <xf numFmtId="0" fontId="25" fillId="11" borderId="3" xfId="0" applyFont="1" applyFill="1" applyBorder="1" applyAlignment="1" applyProtection="1">
      <alignment horizontal="left" vertical="center" wrapText="1"/>
    </xf>
    <xf numFmtId="0" fontId="25" fillId="11" borderId="4" xfId="0" applyFont="1" applyFill="1" applyBorder="1" applyAlignment="1" applyProtection="1">
      <alignment horizontal="left" vertical="center" wrapText="1"/>
    </xf>
    <xf numFmtId="0" fontId="25" fillId="11" borderId="5" xfId="0" applyFont="1" applyFill="1" applyBorder="1" applyAlignment="1" applyProtection="1">
      <alignment horizontal="left" vertical="center" wrapText="1"/>
    </xf>
    <xf numFmtId="0" fontId="25" fillId="11" borderId="0" xfId="0" applyFont="1" applyFill="1" applyAlignment="1" applyProtection="1">
      <alignment horizontal="left" vertical="center" wrapText="1"/>
    </xf>
    <xf numFmtId="0" fontId="25" fillId="11" borderId="6" xfId="0" applyFont="1" applyFill="1" applyBorder="1" applyAlignment="1" applyProtection="1">
      <alignment horizontal="left" vertical="center" wrapText="1"/>
    </xf>
    <xf numFmtId="0" fontId="25" fillId="11" borderId="7" xfId="0" applyFont="1" applyFill="1" applyBorder="1" applyAlignment="1" applyProtection="1">
      <alignment horizontal="left" vertical="center" wrapText="1"/>
    </xf>
    <xf numFmtId="0" fontId="25" fillId="11" borderId="8" xfId="0" applyFont="1" applyFill="1" applyBorder="1" applyAlignment="1" applyProtection="1">
      <alignment horizontal="left" vertical="center" wrapText="1"/>
    </xf>
    <xf numFmtId="0" fontId="25" fillId="11" borderId="9" xfId="0" applyFont="1" applyFill="1" applyBorder="1" applyAlignment="1" applyProtection="1">
      <alignment horizontal="left" vertical="center" wrapText="1"/>
    </xf>
    <xf numFmtId="0" fontId="12" fillId="9" borderId="10" xfId="0" applyFont="1" applyFill="1" applyBorder="1" applyAlignment="1" applyProtection="1">
      <alignment horizontal="left" vertical="center" wrapText="1"/>
    </xf>
    <xf numFmtId="0" fontId="12" fillId="9" borderId="11" xfId="0" applyFont="1" applyFill="1" applyBorder="1" applyAlignment="1" applyProtection="1">
      <alignment horizontal="left" vertical="center"/>
    </xf>
    <xf numFmtId="0" fontId="12" fillId="9" borderId="12" xfId="0" applyFont="1" applyFill="1" applyBorder="1" applyAlignment="1" applyProtection="1">
      <alignment horizontal="left" vertical="center"/>
    </xf>
    <xf numFmtId="0" fontId="12" fillId="20" borderId="2" xfId="0" applyFont="1" applyFill="1" applyBorder="1" applyAlignment="1" applyProtection="1">
      <alignment horizontal="left" vertical="center" wrapText="1"/>
    </xf>
    <xf numFmtId="0" fontId="12" fillId="20" borderId="3" xfId="0" applyFont="1" applyFill="1" applyBorder="1" applyAlignment="1" applyProtection="1">
      <alignment horizontal="left" vertical="center"/>
    </xf>
    <xf numFmtId="0" fontId="12" fillId="20" borderId="4" xfId="0" applyFont="1" applyFill="1" applyBorder="1" applyAlignment="1" applyProtection="1">
      <alignment horizontal="left" vertical="center"/>
    </xf>
    <xf numFmtId="0" fontId="36" fillId="13" borderId="24" xfId="0" applyFont="1" applyFill="1" applyBorder="1" applyAlignment="1" applyProtection="1">
      <alignment horizontal="center" vertical="center" textRotation="90" wrapText="1"/>
    </xf>
    <xf numFmtId="0" fontId="36" fillId="13" borderId="27" xfId="0" applyFont="1" applyFill="1" applyBorder="1" applyAlignment="1" applyProtection="1">
      <alignment horizontal="center" vertical="center" textRotation="90" wrapText="1"/>
    </xf>
    <xf numFmtId="0" fontId="36" fillId="13" borderId="15" xfId="0" applyFont="1" applyFill="1" applyBorder="1" applyAlignment="1" applyProtection="1">
      <alignment horizontal="center" vertical="center" textRotation="90" wrapText="1"/>
    </xf>
    <xf numFmtId="0" fontId="12" fillId="20" borderId="7" xfId="0" applyFont="1" applyFill="1" applyBorder="1" applyAlignment="1" applyProtection="1">
      <alignment horizontal="left" vertical="center" wrapText="1"/>
    </xf>
    <xf numFmtId="0" fontId="12" fillId="20" borderId="8" xfId="0" applyFont="1" applyFill="1" applyBorder="1" applyAlignment="1" applyProtection="1">
      <alignment horizontal="left" vertical="center"/>
    </xf>
    <xf numFmtId="0" fontId="12" fillId="20" borderId="9" xfId="0" applyFont="1" applyFill="1" applyBorder="1" applyAlignment="1" applyProtection="1">
      <alignment horizontal="left" vertical="center"/>
    </xf>
    <xf numFmtId="0" fontId="12" fillId="20" borderId="10" xfId="0" applyFont="1" applyFill="1" applyBorder="1" applyAlignment="1" applyProtection="1">
      <alignment horizontal="left" vertical="center" wrapText="1"/>
    </xf>
    <xf numFmtId="0" fontId="12" fillId="20" borderId="11" xfId="0" applyFont="1" applyFill="1" applyBorder="1" applyAlignment="1" applyProtection="1">
      <alignment horizontal="left" vertical="center"/>
    </xf>
    <xf numFmtId="0" fontId="12" fillId="20" borderId="12" xfId="0" applyFont="1" applyFill="1" applyBorder="1" applyAlignment="1" applyProtection="1">
      <alignment horizontal="left" vertical="center"/>
    </xf>
    <xf numFmtId="0" fontId="36" fillId="8" borderId="24" xfId="0" applyFont="1" applyFill="1" applyBorder="1" applyAlignment="1" applyProtection="1">
      <alignment horizontal="center" vertical="center" textRotation="90" wrapText="1"/>
    </xf>
    <xf numFmtId="0" fontId="36" fillId="8" borderId="27" xfId="0" applyFont="1" applyFill="1" applyBorder="1" applyAlignment="1" applyProtection="1">
      <alignment horizontal="center" vertical="center" textRotation="90" wrapText="1"/>
    </xf>
    <xf numFmtId="0" fontId="36" fillId="8" borderId="15" xfId="0" applyFont="1" applyFill="1" applyBorder="1" applyAlignment="1" applyProtection="1">
      <alignment horizontal="center" vertical="center" textRotation="90" wrapText="1"/>
    </xf>
    <xf numFmtId="0" fontId="5" fillId="3" borderId="3" xfId="0" applyFont="1" applyFill="1" applyBorder="1" applyAlignment="1" applyProtection="1">
      <alignment horizontal="right"/>
    </xf>
    <xf numFmtId="0" fontId="36" fillId="12" borderId="24" xfId="0" applyFont="1" applyFill="1" applyBorder="1" applyAlignment="1" applyProtection="1">
      <alignment horizontal="center" vertical="center" textRotation="90"/>
    </xf>
    <xf numFmtId="0" fontId="36" fillId="12" borderId="27" xfId="0" applyFont="1" applyFill="1" applyBorder="1" applyAlignment="1" applyProtection="1">
      <alignment horizontal="center" vertical="center" textRotation="90"/>
    </xf>
    <xf numFmtId="0" fontId="36" fillId="12" borderId="5" xfId="0" applyFont="1" applyFill="1" applyBorder="1" applyAlignment="1" applyProtection="1">
      <alignment horizontal="center" vertical="center" textRotation="90"/>
    </xf>
    <xf numFmtId="0" fontId="36" fillId="12" borderId="15" xfId="0" applyFont="1" applyFill="1" applyBorder="1" applyAlignment="1" applyProtection="1">
      <alignment horizontal="center" vertical="center" textRotation="90"/>
    </xf>
    <xf numFmtId="0" fontId="12" fillId="19" borderId="11" xfId="0" applyFont="1" applyFill="1" applyBorder="1" applyAlignment="1" applyProtection="1">
      <alignment horizontal="left" vertical="center"/>
    </xf>
    <xf numFmtId="0" fontId="12" fillId="19" borderId="12" xfId="0" applyFont="1" applyFill="1" applyBorder="1" applyAlignment="1" applyProtection="1">
      <alignment horizontal="left" vertical="center"/>
    </xf>
    <xf numFmtId="0" fontId="12" fillId="19" borderId="3" xfId="0" applyFont="1" applyFill="1" applyBorder="1" applyAlignment="1" applyProtection="1">
      <alignment horizontal="left" vertical="center"/>
    </xf>
    <xf numFmtId="0" fontId="12" fillId="19" borderId="4" xfId="0" applyFont="1" applyFill="1" applyBorder="1" applyAlignment="1" applyProtection="1">
      <alignment horizontal="left" vertical="center"/>
    </xf>
    <xf numFmtId="0" fontId="12" fillId="19" borderId="0" xfId="0" applyFont="1" applyFill="1" applyAlignment="1" applyProtection="1">
      <alignment horizontal="left" vertical="center" wrapText="1"/>
    </xf>
    <xf numFmtId="0" fontId="12" fillId="19" borderId="0" xfId="0" applyFont="1" applyFill="1" applyAlignment="1" applyProtection="1">
      <alignment horizontal="left" vertical="center"/>
    </xf>
    <xf numFmtId="0" fontId="12" fillId="19" borderId="6" xfId="0" applyFont="1" applyFill="1" applyBorder="1" applyAlignment="1" applyProtection="1">
      <alignment horizontal="left" vertical="center"/>
    </xf>
    <xf numFmtId="0" fontId="12" fillId="19" borderId="8" xfId="0" applyFont="1" applyFill="1" applyBorder="1" applyAlignment="1" applyProtection="1">
      <alignment horizontal="left" vertical="center" wrapText="1"/>
    </xf>
    <xf numFmtId="0" fontId="12" fillId="19" borderId="8" xfId="0" applyFont="1" applyFill="1" applyBorder="1" applyAlignment="1" applyProtection="1">
      <alignment horizontal="left" vertical="center"/>
    </xf>
    <xf numFmtId="0" fontId="12" fillId="19" borderId="9" xfId="0" applyFont="1" applyFill="1" applyBorder="1" applyAlignment="1" applyProtection="1">
      <alignment horizontal="left" vertical="center"/>
    </xf>
    <xf numFmtId="0" fontId="36" fillId="10" borderId="24" xfId="0" applyFont="1" applyFill="1" applyBorder="1" applyAlignment="1" applyProtection="1">
      <alignment horizontal="center" vertical="center" textRotation="90"/>
    </xf>
    <xf numFmtId="0" fontId="36" fillId="10" borderId="27" xfId="0" applyFont="1" applyFill="1" applyBorder="1" applyAlignment="1" applyProtection="1">
      <alignment horizontal="center" vertical="center" textRotation="90"/>
    </xf>
    <xf numFmtId="0" fontId="36" fillId="10" borderId="15" xfId="0" applyFont="1" applyFill="1" applyBorder="1" applyAlignment="1" applyProtection="1">
      <alignment horizontal="center" vertical="center" textRotation="90"/>
    </xf>
    <xf numFmtId="0" fontId="12" fillId="18" borderId="3" xfId="0" applyFont="1" applyFill="1" applyBorder="1" applyAlignment="1" applyProtection="1">
      <alignment horizontal="left" vertical="center" wrapText="1"/>
    </xf>
    <xf numFmtId="0" fontId="12" fillId="18" borderId="3" xfId="0" applyFont="1" applyFill="1" applyBorder="1" applyAlignment="1" applyProtection="1">
      <alignment horizontal="left" vertical="center"/>
    </xf>
    <xf numFmtId="0" fontId="12" fillId="18" borderId="4" xfId="0" applyFont="1" applyFill="1" applyBorder="1" applyAlignment="1" applyProtection="1">
      <alignment horizontal="left" vertical="center"/>
    </xf>
    <xf numFmtId="0" fontId="12" fillId="18" borderId="8" xfId="0" applyFont="1" applyFill="1" applyBorder="1" applyAlignment="1" applyProtection="1">
      <alignment horizontal="left" vertical="center" wrapText="1"/>
    </xf>
    <xf numFmtId="0" fontId="12" fillId="18" borderId="8" xfId="0" applyFont="1" applyFill="1" applyBorder="1" applyAlignment="1" applyProtection="1">
      <alignment horizontal="left" vertical="center"/>
    </xf>
    <xf numFmtId="0" fontId="12" fillId="18" borderId="9" xfId="0" applyFont="1" applyFill="1" applyBorder="1" applyAlignment="1" applyProtection="1">
      <alignment horizontal="left" vertical="center"/>
    </xf>
    <xf numFmtId="0" fontId="12" fillId="18" borderId="10" xfId="0" applyFont="1" applyFill="1" applyBorder="1" applyAlignment="1" applyProtection="1">
      <alignment horizontal="left" vertical="center" wrapText="1"/>
    </xf>
    <xf numFmtId="0" fontId="12" fillId="18" borderId="11" xfId="0" applyFont="1" applyFill="1" applyBorder="1" applyAlignment="1" applyProtection="1">
      <alignment horizontal="left" vertical="center"/>
    </xf>
    <xf numFmtId="0" fontId="12" fillId="18" borderId="12" xfId="0" applyFont="1" applyFill="1" applyBorder="1" applyAlignment="1" applyProtection="1">
      <alignment horizontal="left" vertical="center"/>
    </xf>
    <xf numFmtId="0" fontId="12" fillId="9" borderId="2" xfId="0" applyFont="1" applyFill="1" applyBorder="1" applyAlignment="1" applyProtection="1">
      <alignment horizontal="left" vertical="center" wrapText="1"/>
    </xf>
    <xf numFmtId="0" fontId="12" fillId="9" borderId="3" xfId="0" applyFont="1" applyFill="1" applyBorder="1" applyAlignment="1" applyProtection="1">
      <alignment horizontal="left" vertical="center"/>
    </xf>
    <xf numFmtId="0" fontId="12" fillId="9" borderId="4" xfId="0" applyFont="1" applyFill="1" applyBorder="1" applyAlignment="1" applyProtection="1">
      <alignment horizontal="left" vertical="center"/>
    </xf>
    <xf numFmtId="0" fontId="0" fillId="11" borderId="5" xfId="0" applyFill="1" applyBorder="1" applyAlignment="1" applyProtection="1">
      <alignment horizontal="left" vertical="top" wrapText="1"/>
    </xf>
    <xf numFmtId="0" fontId="0" fillId="11" borderId="0" xfId="0" applyFill="1" applyAlignment="1" applyProtection="1">
      <alignment horizontal="left" vertical="top" wrapText="1"/>
    </xf>
    <xf numFmtId="0" fontId="0" fillId="11" borderId="6" xfId="0" applyFill="1" applyBorder="1" applyAlignment="1" applyProtection="1">
      <alignment horizontal="left" vertical="top" wrapText="1"/>
    </xf>
    <xf numFmtId="0" fontId="0" fillId="3" borderId="5" xfId="0" applyFill="1" applyBorder="1" applyAlignment="1" applyProtection="1">
      <alignment horizontal="right"/>
    </xf>
    <xf numFmtId="0" fontId="0" fillId="3" borderId="0" xfId="0" applyFill="1" applyAlignment="1" applyProtection="1">
      <alignment horizontal="right"/>
    </xf>
    <xf numFmtId="0" fontId="3" fillId="18" borderId="2" xfId="0" applyFont="1" applyFill="1" applyBorder="1" applyAlignment="1" applyProtection="1">
      <alignment horizontal="center" vertical="center"/>
    </xf>
    <xf numFmtId="0" fontId="3" fillId="18" borderId="3" xfId="0" applyFont="1" applyFill="1" applyBorder="1" applyAlignment="1" applyProtection="1">
      <alignment horizontal="center" vertical="center"/>
    </xf>
    <xf numFmtId="0" fontId="3" fillId="18" borderId="4" xfId="0" applyFont="1" applyFill="1" applyBorder="1" applyAlignment="1" applyProtection="1">
      <alignment horizontal="center" vertical="center"/>
    </xf>
    <xf numFmtId="0" fontId="25" fillId="5" borderId="10" xfId="0" applyFont="1" applyFill="1" applyBorder="1" applyAlignment="1" applyProtection="1">
      <alignment horizontal="left" vertical="center"/>
    </xf>
    <xf numFmtId="0" fontId="25" fillId="5" borderId="11" xfId="0" applyFont="1" applyFill="1" applyBorder="1" applyAlignment="1" applyProtection="1">
      <alignment horizontal="left" vertical="center"/>
    </xf>
    <xf numFmtId="0" fontId="25" fillId="5" borderId="12" xfId="0" applyFont="1" applyFill="1" applyBorder="1" applyAlignment="1" applyProtection="1">
      <alignment horizontal="left" vertical="center"/>
    </xf>
    <xf numFmtId="0" fontId="25" fillId="7" borderId="10" xfId="0" applyFont="1" applyFill="1" applyBorder="1" applyAlignment="1" applyProtection="1">
      <alignment horizontal="left" vertical="center"/>
    </xf>
    <xf numFmtId="0" fontId="25" fillId="7" borderId="11" xfId="0" applyFont="1" applyFill="1" applyBorder="1" applyAlignment="1" applyProtection="1">
      <alignment horizontal="left" vertical="center"/>
    </xf>
    <xf numFmtId="0" fontId="25" fillId="7" borderId="12" xfId="0" applyFont="1" applyFill="1" applyBorder="1" applyAlignment="1" applyProtection="1">
      <alignment horizontal="left" vertical="center"/>
    </xf>
    <xf numFmtId="0" fontId="0" fillId="0" borderId="0" xfId="0" applyAlignment="1" applyProtection="1">
      <alignment horizontal="left" wrapText="1"/>
    </xf>
    <xf numFmtId="0" fontId="6" fillId="18" borderId="10" xfId="0" applyFont="1" applyFill="1" applyBorder="1" applyAlignment="1" applyProtection="1">
      <alignment horizontal="center" vertical="center"/>
    </xf>
    <xf numFmtId="0" fontId="6" fillId="18" borderId="11" xfId="0" applyFont="1" applyFill="1" applyBorder="1" applyAlignment="1" applyProtection="1">
      <alignment horizontal="center" vertical="center"/>
    </xf>
    <xf numFmtId="0" fontId="6" fillId="18" borderId="12" xfId="0" applyFont="1" applyFill="1" applyBorder="1" applyAlignment="1" applyProtection="1">
      <alignment horizontal="center" vertical="center"/>
    </xf>
    <xf numFmtId="0" fontId="53" fillId="3" borderId="3" xfId="0" applyFont="1" applyFill="1" applyBorder="1" applyAlignment="1" applyProtection="1">
      <alignment horizontal="center" vertical="center"/>
    </xf>
    <xf numFmtId="0" fontId="53" fillId="3" borderId="0" xfId="0" applyFont="1" applyFill="1" applyAlignment="1" applyProtection="1">
      <alignment horizontal="center" vertical="center"/>
    </xf>
    <xf numFmtId="0" fontId="52" fillId="3" borderId="0" xfId="0" applyFont="1" applyFill="1" applyAlignment="1" applyProtection="1">
      <alignment horizontal="center" wrapText="1"/>
    </xf>
    <xf numFmtId="0" fontId="52" fillId="3" borderId="0" xfId="0" applyFont="1" applyFill="1" applyAlignment="1" applyProtection="1">
      <alignment horizontal="center" vertical="center" wrapText="1"/>
    </xf>
    <xf numFmtId="0" fontId="5" fillId="24" borderId="10" xfId="0" applyFont="1" applyFill="1" applyBorder="1" applyAlignment="1" applyProtection="1">
      <alignment horizontal="left" vertical="center"/>
    </xf>
    <xf numFmtId="0" fontId="5" fillId="24" borderId="11" xfId="0" applyFont="1" applyFill="1" applyBorder="1" applyAlignment="1" applyProtection="1">
      <alignment horizontal="left" vertical="center"/>
    </xf>
    <xf numFmtId="0" fontId="5" fillId="24" borderId="12" xfId="0" applyFont="1" applyFill="1" applyBorder="1" applyAlignment="1" applyProtection="1">
      <alignment horizontal="left" vertical="center"/>
    </xf>
    <xf numFmtId="0" fontId="9" fillId="16" borderId="7" xfId="0" applyFont="1" applyFill="1" applyBorder="1" applyAlignment="1" applyProtection="1">
      <alignment horizontal="left" vertical="center"/>
    </xf>
    <xf numFmtId="0" fontId="9" fillId="16" borderId="8" xfId="0" applyFont="1" applyFill="1" applyBorder="1" applyAlignment="1" applyProtection="1">
      <alignment horizontal="left" vertical="center"/>
    </xf>
    <xf numFmtId="0" fontId="9" fillId="16" borderId="9" xfId="0" applyFont="1" applyFill="1" applyBorder="1" applyAlignment="1" applyProtection="1">
      <alignment horizontal="left" vertical="center"/>
    </xf>
    <xf numFmtId="0" fontId="9" fillId="16" borderId="5" xfId="0" applyFont="1" applyFill="1" applyBorder="1" applyAlignment="1" applyProtection="1">
      <alignment horizontal="left"/>
    </xf>
    <xf numFmtId="0" fontId="9" fillId="16" borderId="0" xfId="0" applyFont="1" applyFill="1" applyAlignment="1" applyProtection="1">
      <alignment horizontal="left"/>
    </xf>
    <xf numFmtId="0" fontId="9" fillId="16" borderId="6" xfId="0" applyFont="1" applyFill="1" applyBorder="1" applyAlignment="1" applyProtection="1">
      <alignment horizontal="left"/>
    </xf>
    <xf numFmtId="9" fontId="11" fillId="23" borderId="10" xfId="0" applyNumberFormat="1" applyFont="1" applyFill="1" applyBorder="1" applyAlignment="1" applyProtection="1">
      <alignment horizontal="center" vertical="center"/>
    </xf>
    <xf numFmtId="9" fontId="11" fillId="23" borderId="11" xfId="0" applyNumberFormat="1" applyFont="1" applyFill="1" applyBorder="1" applyAlignment="1" applyProtection="1">
      <alignment horizontal="center" vertical="center"/>
    </xf>
    <xf numFmtId="9" fontId="11" fillId="23" borderId="12" xfId="0" applyNumberFormat="1" applyFont="1" applyFill="1" applyBorder="1" applyAlignment="1" applyProtection="1">
      <alignment horizontal="center" vertical="center"/>
    </xf>
    <xf numFmtId="0" fontId="12" fillId="18" borderId="2" xfId="0" applyFont="1" applyFill="1" applyBorder="1" applyAlignment="1" applyProtection="1">
      <alignment horizontal="center" vertical="center" wrapText="1"/>
    </xf>
    <xf numFmtId="0" fontId="12" fillId="18" borderId="3" xfId="0" applyFont="1" applyFill="1" applyBorder="1" applyAlignment="1" applyProtection="1">
      <alignment horizontal="center" vertical="center" wrapText="1"/>
    </xf>
    <xf numFmtId="0" fontId="12" fillId="18" borderId="4" xfId="0" applyFont="1" applyFill="1" applyBorder="1" applyAlignment="1" applyProtection="1">
      <alignment horizontal="center" vertical="center" wrapText="1"/>
    </xf>
    <xf numFmtId="0" fontId="12" fillId="18" borderId="5" xfId="0" applyFont="1" applyFill="1" applyBorder="1" applyAlignment="1" applyProtection="1">
      <alignment horizontal="center" vertical="center" wrapText="1"/>
    </xf>
    <xf numFmtId="0" fontId="12" fillId="18" borderId="0" xfId="0" applyFont="1" applyFill="1" applyAlignment="1" applyProtection="1">
      <alignment horizontal="center" vertical="center" wrapText="1"/>
    </xf>
    <xf numFmtId="0" fontId="12" fillId="18" borderId="6" xfId="0" applyFont="1" applyFill="1" applyBorder="1" applyAlignment="1" applyProtection="1">
      <alignment horizontal="center" vertical="center" wrapText="1"/>
    </xf>
    <xf numFmtId="0" fontId="12" fillId="18" borderId="7" xfId="0" applyFont="1" applyFill="1" applyBorder="1" applyAlignment="1" applyProtection="1">
      <alignment horizontal="center" vertical="center" wrapText="1"/>
    </xf>
    <xf numFmtId="0" fontId="12" fillId="18" borderId="8" xfId="0" applyFont="1" applyFill="1" applyBorder="1" applyAlignment="1" applyProtection="1">
      <alignment horizontal="center" vertical="center" wrapText="1"/>
    </xf>
    <xf numFmtId="0" fontId="12" fillId="18" borderId="9" xfId="0" applyFont="1" applyFill="1" applyBorder="1" applyAlignment="1" applyProtection="1">
      <alignment horizontal="center" vertical="center" wrapText="1"/>
    </xf>
    <xf numFmtId="9" fontId="5" fillId="16" borderId="8" xfId="1" applyFont="1" applyFill="1" applyBorder="1" applyAlignment="1" applyProtection="1">
      <alignment horizontal="center" vertical="center"/>
    </xf>
    <xf numFmtId="9" fontId="5" fillId="16" borderId="40" xfId="1" applyFont="1" applyFill="1" applyBorder="1" applyAlignment="1" applyProtection="1">
      <alignment horizontal="center" vertical="center"/>
    </xf>
    <xf numFmtId="0" fontId="43" fillId="11" borderId="2" xfId="0"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xf>
    <xf numFmtId="0" fontId="43" fillId="11" borderId="4" xfId="0" applyFont="1" applyFill="1" applyBorder="1" applyAlignment="1" applyProtection="1">
      <alignment horizontal="left" vertical="center" wrapText="1"/>
    </xf>
    <xf numFmtId="0" fontId="43" fillId="11" borderId="5" xfId="0" applyFont="1" applyFill="1" applyBorder="1" applyAlignment="1" applyProtection="1">
      <alignment horizontal="left" vertical="center" wrapText="1"/>
    </xf>
    <xf numFmtId="0" fontId="43" fillId="11" borderId="0" xfId="0" applyFont="1" applyFill="1" applyAlignment="1" applyProtection="1">
      <alignment horizontal="left" vertical="center" wrapText="1"/>
    </xf>
    <xf numFmtId="0" fontId="43" fillId="11" borderId="6" xfId="0" applyFont="1" applyFill="1" applyBorder="1" applyAlignment="1" applyProtection="1">
      <alignment horizontal="left" vertical="center" wrapText="1"/>
    </xf>
    <xf numFmtId="0" fontId="43" fillId="11" borderId="7" xfId="0" applyFont="1" applyFill="1" applyBorder="1" applyAlignment="1" applyProtection="1">
      <alignment horizontal="left" vertical="center" wrapText="1"/>
    </xf>
    <xf numFmtId="0" fontId="43" fillId="11" borderId="8" xfId="0" applyFont="1" applyFill="1" applyBorder="1" applyAlignment="1" applyProtection="1">
      <alignment horizontal="left" vertical="center" wrapText="1"/>
    </xf>
    <xf numFmtId="0" fontId="43" fillId="11" borderId="9" xfId="0" applyFont="1" applyFill="1" applyBorder="1" applyAlignment="1" applyProtection="1">
      <alignment horizontal="left" vertical="center" wrapText="1"/>
    </xf>
    <xf numFmtId="9" fontId="5" fillId="16" borderId="22" xfId="1" applyFont="1" applyFill="1" applyBorder="1" applyAlignment="1" applyProtection="1">
      <alignment horizontal="center" vertical="center"/>
    </xf>
    <xf numFmtId="9" fontId="5" fillId="16" borderId="42" xfId="1" applyFont="1" applyFill="1" applyBorder="1" applyAlignment="1" applyProtection="1">
      <alignment horizontal="center" vertical="center"/>
    </xf>
    <xf numFmtId="9" fontId="5" fillId="16" borderId="31" xfId="1" applyFont="1" applyFill="1" applyBorder="1" applyAlignment="1" applyProtection="1">
      <alignment horizontal="center" vertical="center"/>
    </xf>
    <xf numFmtId="0" fontId="12" fillId="18" borderId="10" xfId="0" applyFont="1" applyFill="1" applyBorder="1" applyAlignment="1" applyProtection="1">
      <alignment horizontal="center" vertical="center" wrapText="1"/>
    </xf>
    <xf numFmtId="0" fontId="12" fillId="18" borderId="11" xfId="0" applyFont="1" applyFill="1" applyBorder="1" applyAlignment="1" applyProtection="1">
      <alignment horizontal="center" vertical="center" wrapText="1"/>
    </xf>
    <xf numFmtId="0" fontId="12" fillId="18" borderId="12" xfId="0" applyFont="1" applyFill="1" applyBorder="1" applyAlignment="1" applyProtection="1">
      <alignment horizontal="center" vertical="center" wrapText="1"/>
    </xf>
    <xf numFmtId="9" fontId="5" fillId="16" borderId="0" xfId="1" applyFont="1" applyFill="1" applyBorder="1" applyAlignment="1" applyProtection="1">
      <alignment horizontal="center" vertical="center"/>
    </xf>
    <xf numFmtId="9" fontId="5" fillId="16" borderId="6" xfId="1" applyFont="1" applyFill="1" applyBorder="1" applyAlignment="1" applyProtection="1">
      <alignment horizontal="center" vertical="center"/>
    </xf>
    <xf numFmtId="9" fontId="5" fillId="16" borderId="35" xfId="1" applyFont="1" applyFill="1" applyBorder="1" applyAlignment="1" applyProtection="1">
      <alignment horizontal="center" vertical="center"/>
    </xf>
    <xf numFmtId="0" fontId="10" fillId="16" borderId="5" xfId="0" applyFont="1" applyFill="1" applyBorder="1" applyAlignment="1" applyProtection="1">
      <alignment horizontal="right" vertical="center"/>
    </xf>
    <xf numFmtId="0" fontId="10" fillId="16" borderId="0" xfId="0" applyFont="1" applyFill="1" applyAlignment="1" applyProtection="1">
      <alignment horizontal="right" vertical="center"/>
    </xf>
    <xf numFmtId="0" fontId="58" fillId="16" borderId="5" xfId="0" applyFont="1" applyFill="1" applyBorder="1" applyAlignment="1" applyProtection="1">
      <alignment horizontal="right" vertical="top"/>
    </xf>
    <xf numFmtId="0" fontId="58" fillId="16" borderId="0" xfId="0" applyFont="1" applyFill="1" applyAlignment="1" applyProtection="1">
      <alignment horizontal="right" vertical="top"/>
    </xf>
    <xf numFmtId="0" fontId="58" fillId="16" borderId="6" xfId="0" applyFont="1" applyFill="1" applyBorder="1" applyAlignment="1" applyProtection="1">
      <alignment horizontal="right" vertical="top"/>
    </xf>
    <xf numFmtId="0" fontId="38" fillId="18" borderId="2" xfId="0" applyFont="1" applyFill="1" applyBorder="1" applyAlignment="1" applyProtection="1">
      <alignment horizontal="center" vertical="center"/>
    </xf>
    <xf numFmtId="0" fontId="38" fillId="18" borderId="3" xfId="0" applyFont="1" applyFill="1" applyBorder="1" applyAlignment="1" applyProtection="1">
      <alignment horizontal="center" vertical="center"/>
    </xf>
    <xf numFmtId="0" fontId="38" fillId="18" borderId="11" xfId="0" applyFont="1" applyFill="1" applyBorder="1" applyAlignment="1" applyProtection="1">
      <alignment horizontal="center" vertical="center"/>
    </xf>
    <xf numFmtId="0" fontId="38" fillId="18" borderId="12" xfId="0" applyFont="1" applyFill="1" applyBorder="1" applyAlignment="1" applyProtection="1">
      <alignment horizontal="center" vertical="center"/>
    </xf>
    <xf numFmtId="0" fontId="10" fillId="16" borderId="2" xfId="0" applyFont="1" applyFill="1" applyBorder="1" applyAlignment="1" applyProtection="1">
      <alignment horizontal="right" vertical="center"/>
    </xf>
    <xf numFmtId="0" fontId="10" fillId="16" borderId="3" xfId="0" applyFont="1" applyFill="1" applyBorder="1" applyAlignment="1" applyProtection="1">
      <alignment horizontal="right" vertical="center"/>
    </xf>
    <xf numFmtId="0" fontId="52" fillId="3" borderId="6" xfId="0" applyFont="1" applyFill="1" applyBorder="1" applyAlignment="1" applyProtection="1">
      <alignment horizontal="center" wrapText="1"/>
    </xf>
    <xf numFmtId="0" fontId="53" fillId="3" borderId="7" xfId="0" applyFont="1" applyFill="1" applyBorder="1" applyAlignment="1" applyProtection="1">
      <alignment horizontal="center" vertical="center"/>
    </xf>
    <xf numFmtId="0" fontId="53" fillId="3" borderId="8" xfId="0" applyFont="1" applyFill="1" applyBorder="1" applyAlignment="1" applyProtection="1">
      <alignment horizontal="center" vertical="center"/>
    </xf>
    <xf numFmtId="0" fontId="0" fillId="16" borderId="2" xfId="0" applyFill="1" applyBorder="1" applyAlignment="1" applyProtection="1">
      <alignment horizontal="left" wrapText="1"/>
    </xf>
    <xf numFmtId="0" fontId="0" fillId="16" borderId="3" xfId="0" applyFill="1" applyBorder="1" applyAlignment="1" applyProtection="1">
      <alignment horizontal="left" wrapText="1"/>
    </xf>
    <xf numFmtId="0" fontId="0" fillId="16" borderId="4" xfId="0" applyFill="1" applyBorder="1" applyAlignment="1" applyProtection="1">
      <alignment horizontal="left" wrapText="1"/>
    </xf>
    <xf numFmtId="0" fontId="38" fillId="18" borderId="10" xfId="0" applyFont="1" applyFill="1" applyBorder="1" applyAlignment="1" applyProtection="1">
      <alignment horizontal="center" vertical="center"/>
    </xf>
    <xf numFmtId="0" fontId="10" fillId="7" borderId="5" xfId="0" applyFont="1" applyFill="1" applyBorder="1" applyAlignment="1" applyProtection="1">
      <alignment horizontal="right" vertical="center"/>
    </xf>
    <xf numFmtId="0" fontId="10" fillId="7" borderId="0" xfId="0" applyFont="1" applyFill="1" applyAlignment="1" applyProtection="1">
      <alignment horizontal="right" vertical="center"/>
    </xf>
    <xf numFmtId="3" fontId="53" fillId="3" borderId="2" xfId="0" applyNumberFormat="1" applyFont="1" applyFill="1" applyBorder="1" applyAlignment="1" applyProtection="1">
      <alignment horizontal="center" vertical="center"/>
    </xf>
    <xf numFmtId="3" fontId="53" fillId="3" borderId="3" xfId="0" applyNumberFormat="1" applyFont="1" applyFill="1" applyBorder="1" applyAlignment="1" applyProtection="1">
      <alignment horizontal="center" vertical="center"/>
    </xf>
    <xf numFmtId="3" fontId="53" fillId="3" borderId="5" xfId="0" applyNumberFormat="1" applyFont="1" applyFill="1" applyBorder="1" applyAlignment="1" applyProtection="1">
      <alignment horizontal="center" vertical="center"/>
    </xf>
    <xf numFmtId="3" fontId="53" fillId="3" borderId="0" xfId="0" applyNumberFormat="1" applyFont="1" applyFill="1" applyAlignment="1" applyProtection="1">
      <alignment horizontal="center" vertical="center"/>
    </xf>
    <xf numFmtId="0" fontId="10" fillId="7" borderId="2" xfId="0" applyFont="1" applyFill="1" applyBorder="1" applyAlignment="1" applyProtection="1">
      <alignment horizontal="right" vertical="center"/>
    </xf>
    <xf numFmtId="0" fontId="10" fillId="7" borderId="3" xfId="0" applyFont="1" applyFill="1" applyBorder="1" applyAlignment="1" applyProtection="1">
      <alignment horizontal="right" vertical="center"/>
    </xf>
    <xf numFmtId="0" fontId="10" fillId="16" borderId="5" xfId="0" applyFont="1" applyFill="1" applyBorder="1" applyAlignment="1" applyProtection="1">
      <alignment horizontal="right" vertical="center" wrapText="1"/>
    </xf>
    <xf numFmtId="0" fontId="10" fillId="16" borderId="0" xfId="0" applyFont="1" applyFill="1" applyAlignment="1" applyProtection="1">
      <alignment horizontal="right" vertical="center" wrapText="1"/>
    </xf>
    <xf numFmtId="0" fontId="45" fillId="7" borderId="5" xfId="0" applyFont="1" applyFill="1" applyBorder="1" applyAlignment="1" applyProtection="1">
      <alignment horizontal="center" vertical="center" wrapText="1"/>
    </xf>
    <xf numFmtId="0" fontId="45" fillId="7" borderId="6" xfId="0" applyFont="1" applyFill="1" applyBorder="1" applyAlignment="1" applyProtection="1">
      <alignment horizontal="center" vertical="center" wrapText="1"/>
    </xf>
    <xf numFmtId="0" fontId="45" fillId="7" borderId="8" xfId="0" applyFont="1" applyFill="1" applyBorder="1" applyAlignment="1" applyProtection="1">
      <alignment horizontal="center" vertical="center" wrapText="1"/>
    </xf>
    <xf numFmtId="0" fontId="45" fillId="7" borderId="9" xfId="0" applyFont="1" applyFill="1" applyBorder="1" applyAlignment="1" applyProtection="1">
      <alignment horizontal="center" vertical="center" wrapText="1"/>
    </xf>
    <xf numFmtId="0" fontId="10" fillId="7" borderId="5" xfId="0" applyFont="1" applyFill="1" applyBorder="1" applyAlignment="1" applyProtection="1">
      <alignment horizontal="center" vertical="center" wrapText="1"/>
    </xf>
    <xf numFmtId="0" fontId="10" fillId="7" borderId="0" xfId="0" applyFont="1" applyFill="1" applyAlignment="1" applyProtection="1">
      <alignment horizontal="center" vertical="center" wrapText="1"/>
    </xf>
    <xf numFmtId="0" fontId="10" fillId="7" borderId="6" xfId="0" applyFont="1" applyFill="1" applyBorder="1" applyAlignment="1" applyProtection="1">
      <alignment horizontal="center" vertical="center" wrapText="1"/>
    </xf>
    <xf numFmtId="0" fontId="54" fillId="7" borderId="10" xfId="0" applyFont="1" applyFill="1" applyBorder="1" applyAlignment="1" applyProtection="1">
      <alignment horizontal="center" vertical="center" wrapText="1"/>
    </xf>
    <xf numFmtId="0" fontId="54" fillId="7" borderId="12" xfId="0" applyFont="1" applyFill="1" applyBorder="1" applyAlignment="1" applyProtection="1">
      <alignment horizontal="center" vertical="center" wrapText="1"/>
    </xf>
    <xf numFmtId="0" fontId="54" fillId="7" borderId="2" xfId="0" applyFont="1" applyFill="1" applyBorder="1" applyAlignment="1" applyProtection="1">
      <alignment horizontal="center" vertical="center" wrapText="1"/>
    </xf>
    <xf numFmtId="0" fontId="9" fillId="16" borderId="2" xfId="0" applyFont="1" applyFill="1" applyBorder="1" applyAlignment="1" applyProtection="1">
      <alignment horizontal="left" vertical="center"/>
    </xf>
    <xf numFmtId="0" fontId="9" fillId="16" borderId="3" xfId="0" applyFont="1" applyFill="1" applyBorder="1" applyAlignment="1" applyProtection="1">
      <alignment horizontal="left" vertical="center"/>
    </xf>
    <xf numFmtId="0" fontId="9" fillId="16" borderId="4" xfId="0" applyFont="1" applyFill="1" applyBorder="1" applyAlignment="1" applyProtection="1">
      <alignment horizontal="left" vertical="center"/>
    </xf>
    <xf numFmtId="3" fontId="47" fillId="16" borderId="3" xfId="0" applyNumberFormat="1" applyFont="1" applyFill="1" applyBorder="1" applyAlignment="1" applyProtection="1">
      <alignment horizontal="center" vertical="center" wrapText="1"/>
    </xf>
    <xf numFmtId="3" fontId="11" fillId="16" borderId="7" xfId="0" applyNumberFormat="1" applyFont="1" applyFill="1" applyBorder="1" applyAlignment="1" applyProtection="1">
      <alignment horizontal="center" vertical="center" wrapText="1"/>
    </xf>
    <xf numFmtId="3" fontId="11" fillId="16" borderId="8" xfId="0" applyNumberFormat="1" applyFont="1" applyFill="1" applyBorder="1" applyAlignment="1" applyProtection="1">
      <alignment horizontal="center" vertical="center" wrapText="1"/>
    </xf>
    <xf numFmtId="3" fontId="47" fillId="16" borderId="8" xfId="0" applyNumberFormat="1" applyFont="1" applyFill="1" applyBorder="1" applyAlignment="1" applyProtection="1">
      <alignment horizontal="center" vertical="center" wrapText="1"/>
    </xf>
    <xf numFmtId="169" fontId="0" fillId="16" borderId="0" xfId="1" applyNumberFormat="1" applyFont="1" applyFill="1" applyBorder="1" applyAlignment="1" applyProtection="1">
      <alignment horizontal="center" vertical="center" wrapText="1"/>
    </xf>
    <xf numFmtId="0" fontId="10" fillId="7" borderId="2" xfId="0" applyFont="1" applyFill="1" applyBorder="1" applyAlignment="1" applyProtection="1">
      <alignment horizontal="center" vertical="center" wrapText="1"/>
    </xf>
    <xf numFmtId="0" fontId="10" fillId="7" borderId="4" xfId="0" applyFont="1" applyFill="1" applyBorder="1" applyAlignment="1" applyProtection="1">
      <alignment horizontal="center" vertical="center" wrapText="1"/>
    </xf>
    <xf numFmtId="0" fontId="10" fillId="7" borderId="7" xfId="0" applyFont="1" applyFill="1" applyBorder="1" applyAlignment="1" applyProtection="1">
      <alignment horizontal="center" vertical="center" wrapText="1"/>
    </xf>
    <xf numFmtId="0" fontId="10" fillId="7" borderId="9" xfId="0" applyFont="1" applyFill="1" applyBorder="1" applyAlignment="1" applyProtection="1">
      <alignment horizontal="center" vertical="center" wrapText="1"/>
    </xf>
    <xf numFmtId="0" fontId="0" fillId="16" borderId="0" xfId="0" applyFill="1" applyAlignment="1" applyProtection="1">
      <alignment horizontal="center" vertical="center" wrapText="1"/>
    </xf>
    <xf numFmtId="0" fontId="0" fillId="16" borderId="3" xfId="0" applyFill="1" applyBorder="1" applyAlignment="1" applyProtection="1">
      <alignment horizontal="center" vertical="center" wrapText="1"/>
    </xf>
    <xf numFmtId="169" fontId="0" fillId="16" borderId="8" xfId="1" applyNumberFormat="1" applyFont="1" applyFill="1" applyBorder="1" applyAlignment="1" applyProtection="1">
      <alignment horizontal="center" vertical="center" wrapText="1"/>
    </xf>
    <xf numFmtId="169" fontId="0" fillId="16" borderId="9" xfId="1" applyNumberFormat="1" applyFont="1" applyFill="1" applyBorder="1" applyAlignment="1" applyProtection="1">
      <alignment horizontal="center" vertical="center" wrapText="1"/>
    </xf>
    <xf numFmtId="169" fontId="0" fillId="16" borderId="6" xfId="1" applyNumberFormat="1" applyFont="1" applyFill="1" applyBorder="1" applyAlignment="1" applyProtection="1">
      <alignment horizontal="center" vertical="center" wrapText="1"/>
    </xf>
    <xf numFmtId="0" fontId="54" fillId="7" borderId="11" xfId="0" applyFont="1" applyFill="1" applyBorder="1" applyAlignment="1" applyProtection="1">
      <alignment horizontal="center" vertical="center" wrapText="1"/>
    </xf>
    <xf numFmtId="3" fontId="11" fillId="16" borderId="0" xfId="0" applyNumberFormat="1" applyFont="1" applyFill="1" applyAlignment="1" applyProtection="1">
      <alignment horizontal="center" vertical="center" wrapText="1"/>
    </xf>
    <xf numFmtId="3" fontId="11" fillId="16" borderId="6" xfId="0" applyNumberFormat="1" applyFont="1" applyFill="1" applyBorder="1" applyAlignment="1" applyProtection="1">
      <alignment horizontal="center" vertical="center" wrapText="1"/>
    </xf>
    <xf numFmtId="3" fontId="47" fillId="16" borderId="9" xfId="0" applyNumberFormat="1" applyFont="1" applyFill="1" applyBorder="1" applyAlignment="1" applyProtection="1">
      <alignment horizontal="center" vertical="center" wrapText="1"/>
    </xf>
    <xf numFmtId="0" fontId="49" fillId="16" borderId="2" xfId="0" applyFont="1" applyFill="1" applyBorder="1" applyAlignment="1" applyProtection="1">
      <alignment horizontal="center" vertical="center" wrapText="1"/>
    </xf>
    <xf numFmtId="0" fontId="49" fillId="16" borderId="3" xfId="0" applyFont="1" applyFill="1" applyBorder="1" applyAlignment="1" applyProtection="1">
      <alignment horizontal="center" vertical="center" wrapText="1"/>
    </xf>
    <xf numFmtId="0" fontId="49" fillId="16" borderId="4" xfId="0" applyFont="1" applyFill="1" applyBorder="1" applyAlignment="1" applyProtection="1">
      <alignment horizontal="center" vertical="center" wrapText="1"/>
    </xf>
    <xf numFmtId="0" fontId="49" fillId="16" borderId="7" xfId="0" applyFont="1" applyFill="1" applyBorder="1" applyAlignment="1" applyProtection="1">
      <alignment horizontal="center" vertical="center" wrapText="1"/>
    </xf>
    <xf numFmtId="0" fontId="49" fillId="16" borderId="8" xfId="0" applyFont="1" applyFill="1" applyBorder="1" applyAlignment="1" applyProtection="1">
      <alignment horizontal="center" vertical="center" wrapText="1"/>
    </xf>
    <xf numFmtId="0" fontId="49" fillId="16" borderId="9" xfId="0" applyFont="1" applyFill="1" applyBorder="1" applyAlignment="1" applyProtection="1">
      <alignment horizontal="center" vertical="center" wrapText="1"/>
    </xf>
    <xf numFmtId="3" fontId="11" fillId="16" borderId="2" xfId="0" applyNumberFormat="1" applyFont="1" applyFill="1" applyBorder="1" applyAlignment="1" applyProtection="1">
      <alignment horizontal="center" vertical="center" wrapText="1"/>
    </xf>
    <xf numFmtId="3" fontId="11" fillId="16" borderId="3" xfId="0" applyNumberFormat="1" applyFont="1" applyFill="1" applyBorder="1" applyAlignment="1" applyProtection="1">
      <alignment horizontal="center" vertical="center" wrapText="1"/>
    </xf>
    <xf numFmtId="3" fontId="11" fillId="16" borderId="5" xfId="0" applyNumberFormat="1" applyFont="1" applyFill="1" applyBorder="1" applyAlignment="1" applyProtection="1">
      <alignment horizontal="center" vertical="center" wrapText="1"/>
    </xf>
    <xf numFmtId="3" fontId="5" fillId="16" borderId="0" xfId="0" applyNumberFormat="1" applyFont="1" applyFill="1" applyAlignment="1" applyProtection="1">
      <alignment horizontal="center" vertical="center" wrapText="1"/>
    </xf>
    <xf numFmtId="3" fontId="5" fillId="16" borderId="6" xfId="0" applyNumberFormat="1" applyFont="1" applyFill="1" applyBorder="1" applyAlignment="1" applyProtection="1">
      <alignment horizontal="center" vertical="center" wrapText="1"/>
    </xf>
    <xf numFmtId="3" fontId="47" fillId="16" borderId="4" xfId="0" applyNumberFormat="1" applyFont="1" applyFill="1" applyBorder="1" applyAlignment="1" applyProtection="1">
      <alignment horizontal="center" vertical="center" wrapText="1"/>
    </xf>
    <xf numFmtId="0" fontId="10" fillId="7" borderId="10" xfId="0" applyFont="1" applyFill="1" applyBorder="1" applyAlignment="1" applyProtection="1">
      <alignment horizontal="center" vertical="center" wrapText="1"/>
    </xf>
    <xf numFmtId="0" fontId="10" fillId="7" borderId="11" xfId="0" applyFont="1" applyFill="1" applyBorder="1" applyAlignment="1" applyProtection="1">
      <alignment horizontal="center" vertical="center" wrapText="1"/>
    </xf>
    <xf numFmtId="0" fontId="10" fillId="7" borderId="12" xfId="0" applyFont="1" applyFill="1" applyBorder="1" applyAlignment="1" applyProtection="1">
      <alignment horizontal="center" vertical="center" wrapText="1"/>
    </xf>
    <xf numFmtId="0" fontId="54" fillId="7" borderId="4" xfId="0" applyFont="1" applyFill="1" applyBorder="1" applyAlignment="1" applyProtection="1">
      <alignment horizontal="center" vertical="center" wrapText="1"/>
    </xf>
    <xf numFmtId="0" fontId="54" fillId="7" borderId="3" xfId="0" applyFont="1" applyFill="1" applyBorder="1" applyAlignment="1" applyProtection="1">
      <alignment horizontal="center" vertical="center" wrapText="1"/>
    </xf>
    <xf numFmtId="0" fontId="10" fillId="7" borderId="3" xfId="0" applyFont="1" applyFill="1" applyBorder="1" applyAlignment="1" applyProtection="1">
      <alignment horizontal="center" vertical="center" wrapText="1"/>
    </xf>
    <xf numFmtId="0" fontId="0" fillId="16" borderId="4" xfId="0" applyFill="1" applyBorder="1" applyAlignment="1" applyProtection="1">
      <alignment horizontal="center" vertical="center" wrapText="1"/>
    </xf>
    <xf numFmtId="0" fontId="0" fillId="16" borderId="6" xfId="0" applyFill="1" applyBorder="1" applyAlignment="1" applyProtection="1">
      <alignment horizontal="center" vertical="center" wrapText="1"/>
    </xf>
    <xf numFmtId="0" fontId="53" fillId="3" borderId="10" xfId="0" applyFont="1" applyFill="1" applyBorder="1" applyAlignment="1" applyProtection="1">
      <alignment horizontal="center" vertical="center"/>
    </xf>
    <xf numFmtId="0" fontId="53" fillId="3" borderId="11" xfId="0" applyFont="1" applyFill="1" applyBorder="1" applyAlignment="1" applyProtection="1">
      <alignment horizontal="center" vertical="center"/>
    </xf>
    <xf numFmtId="0" fontId="53" fillId="3" borderId="45" xfId="0" applyFont="1" applyFill="1" applyBorder="1" applyAlignment="1" applyProtection="1">
      <alignment horizontal="left" vertical="center" textRotation="90"/>
    </xf>
    <xf numFmtId="0" fontId="53" fillId="3" borderId="35" xfId="0" applyFont="1" applyFill="1" applyBorder="1" applyAlignment="1" applyProtection="1">
      <alignment horizontal="left" vertical="center" textRotation="90"/>
    </xf>
    <xf numFmtId="0" fontId="53" fillId="3" borderId="43" xfId="0" applyFont="1" applyFill="1" applyBorder="1" applyAlignment="1" applyProtection="1">
      <alignment horizontal="left" vertical="center" textRotation="90"/>
    </xf>
    <xf numFmtId="0" fontId="53" fillId="3" borderId="0" xfId="0" applyFont="1" applyFill="1" applyAlignment="1" applyProtection="1">
      <alignment horizontal="center" vertical="center" wrapText="1"/>
    </xf>
    <xf numFmtId="0" fontId="52" fillId="3" borderId="5" xfId="0" applyFont="1" applyFill="1" applyBorder="1" applyAlignment="1" applyProtection="1">
      <alignment horizontal="center" vertical="center" wrapText="1"/>
    </xf>
    <xf numFmtId="0" fontId="52" fillId="3" borderId="16" xfId="0" applyFont="1" applyFill="1" applyBorder="1" applyAlignment="1" applyProtection="1">
      <alignment horizontal="center" vertical="center" wrapText="1"/>
    </xf>
    <xf numFmtId="0" fontId="52" fillId="3" borderId="8" xfId="0" applyFont="1" applyFill="1" applyBorder="1" applyAlignment="1" applyProtection="1">
      <alignment horizontal="center" vertical="center" wrapText="1"/>
    </xf>
    <xf numFmtId="164" fontId="0" fillId="7" borderId="0" xfId="0" applyNumberFormat="1" applyFill="1" applyAlignment="1" applyProtection="1">
      <alignment horizontal="right"/>
    </xf>
    <xf numFmtId="1" fontId="0" fillId="7" borderId="8" xfId="0" applyNumberFormat="1" applyFill="1" applyBorder="1" applyAlignment="1" applyProtection="1">
      <alignment horizontal="center"/>
    </xf>
    <xf numFmtId="43" fontId="0" fillId="7" borderId="0" xfId="0" applyNumberFormat="1" applyFill="1" applyAlignment="1" applyProtection="1">
      <alignment horizontal="right"/>
    </xf>
    <xf numFmtId="0" fontId="0" fillId="8" borderId="19" xfId="0" applyFill="1" applyBorder="1" applyAlignment="1" applyProtection="1">
      <alignment horizontal="center" vertical="center" wrapText="1"/>
    </xf>
    <xf numFmtId="164" fontId="0" fillId="7" borderId="31" xfId="0" applyNumberFormat="1" applyFill="1" applyBorder="1" applyAlignment="1" applyProtection="1">
      <alignment horizontal="right" vertical="center"/>
    </xf>
    <xf numFmtId="164" fontId="0" fillId="7" borderId="14" xfId="0" applyNumberFormat="1" applyFill="1" applyBorder="1" applyAlignment="1" applyProtection="1">
      <alignment horizontal="right" vertical="center"/>
    </xf>
    <xf numFmtId="164" fontId="0" fillId="7" borderId="32" xfId="0" applyNumberFormat="1" applyFill="1" applyBorder="1" applyAlignment="1" applyProtection="1">
      <alignment horizontal="right" vertical="center"/>
    </xf>
    <xf numFmtId="1" fontId="0" fillId="7" borderId="0" xfId="0" applyNumberFormat="1" applyFill="1" applyAlignment="1" applyProtection="1">
      <alignment horizontal="center"/>
    </xf>
    <xf numFmtId="9" fontId="0" fillId="16" borderId="13" xfId="1" applyFont="1" applyFill="1" applyBorder="1" applyAlignment="1" applyProtection="1">
      <alignment horizontal="center" vertical="center"/>
      <protection locked="0"/>
    </xf>
    <xf numFmtId="164" fontId="0" fillId="7" borderId="0" xfId="0" applyNumberFormat="1" applyFill="1" applyAlignment="1" applyProtection="1">
      <alignment horizontal="center" vertical="center"/>
    </xf>
    <xf numFmtId="164" fontId="0" fillId="7" borderId="8" xfId="0" applyNumberFormat="1" applyFill="1" applyBorder="1" applyAlignment="1" applyProtection="1">
      <alignment horizontal="right"/>
    </xf>
    <xf numFmtId="1" fontId="0" fillId="7" borderId="0" xfId="0" applyNumberFormat="1" applyFill="1" applyAlignment="1" applyProtection="1">
      <alignment horizontal="right"/>
    </xf>
    <xf numFmtId="1" fontId="0" fillId="7" borderId="8" xfId="0" applyNumberFormat="1" applyFill="1" applyBorder="1" applyAlignment="1" applyProtection="1">
      <alignment horizontal="right" vertical="center"/>
    </xf>
    <xf numFmtId="173" fontId="0" fillId="7" borderId="0" xfId="0" applyNumberFormat="1" applyFill="1" applyAlignment="1" applyProtection="1">
      <alignment horizontal="right"/>
    </xf>
    <xf numFmtId="9" fontId="0" fillId="16" borderId="1" xfId="0" applyNumberFormat="1" applyFill="1" applyBorder="1" applyAlignment="1" applyProtection="1">
      <alignment horizontal="center"/>
      <protection locked="0"/>
    </xf>
    <xf numFmtId="164" fontId="0" fillId="7" borderId="0" xfId="2" applyNumberFormat="1" applyFont="1" applyFill="1" applyBorder="1" applyAlignment="1" applyProtection="1">
      <alignment horizontal="center" vertical="center"/>
    </xf>
    <xf numFmtId="1" fontId="0" fillId="7" borderId="3" xfId="0" applyNumberFormat="1" applyFill="1" applyBorder="1" applyAlignment="1" applyProtection="1">
      <alignment horizontal="center"/>
    </xf>
    <xf numFmtId="0" fontId="0" fillId="7" borderId="0" xfId="0" applyFill="1" applyAlignment="1" applyProtection="1">
      <alignment horizontal="center" vertical="center"/>
    </xf>
    <xf numFmtId="0" fontId="0" fillId="16" borderId="1" xfId="0" applyFill="1" applyBorder="1" applyAlignment="1" applyProtection="1">
      <alignment horizontal="center"/>
      <protection locked="0"/>
    </xf>
    <xf numFmtId="0" fontId="0" fillId="7" borderId="0" xfId="0" applyFill="1" applyAlignment="1" applyProtection="1">
      <alignment horizontal="center"/>
    </xf>
    <xf numFmtId="0" fontId="0" fillId="7" borderId="16" xfId="0" applyFill="1" applyBorder="1" applyAlignment="1" applyProtection="1">
      <alignment horizontal="center"/>
    </xf>
    <xf numFmtId="0" fontId="0" fillId="7" borderId="8" xfId="0" applyFill="1" applyBorder="1" applyAlignment="1" applyProtection="1">
      <alignment horizontal="center" vertical="center"/>
    </xf>
    <xf numFmtId="0" fontId="30" fillId="18" borderId="10" xfId="0" applyFont="1" applyFill="1" applyBorder="1" applyAlignment="1" applyProtection="1">
      <alignment horizontal="center" vertical="center" wrapText="1"/>
    </xf>
    <xf numFmtId="0" fontId="30" fillId="18" borderId="11" xfId="0" applyFont="1" applyFill="1" applyBorder="1" applyAlignment="1" applyProtection="1">
      <alignment horizontal="center" vertical="center" wrapText="1"/>
    </xf>
    <xf numFmtId="0" fontId="30" fillId="18" borderId="12" xfId="0" applyFont="1" applyFill="1" applyBorder="1" applyAlignment="1" applyProtection="1">
      <alignment horizontal="center" vertical="center" wrapText="1"/>
    </xf>
    <xf numFmtId="2" fontId="0" fillId="7" borderId="0" xfId="0" applyNumberFormat="1" applyFill="1" applyAlignment="1" applyProtection="1">
      <alignment horizontal="center"/>
    </xf>
    <xf numFmtId="2" fontId="0" fillId="7" borderId="8" xfId="0" applyNumberFormat="1" applyFill="1" applyBorder="1" applyAlignment="1" applyProtection="1">
      <alignment horizontal="center"/>
    </xf>
    <xf numFmtId="2" fontId="0" fillId="7" borderId="0" xfId="0" applyNumberFormat="1" applyFill="1" applyAlignment="1" applyProtection="1">
      <alignment horizontal="center" vertical="center"/>
    </xf>
    <xf numFmtId="9" fontId="0" fillId="16" borderId="1" xfId="0" applyNumberFormat="1" applyFill="1" applyBorder="1" applyAlignment="1" applyProtection="1">
      <alignment horizontal="center" vertical="center"/>
      <protection locked="0"/>
    </xf>
    <xf numFmtId="0" fontId="6" fillId="7" borderId="5" xfId="0" applyFont="1" applyFill="1" applyBorder="1" applyAlignment="1" applyProtection="1">
      <alignment horizontal="center" vertical="center" wrapText="1"/>
    </xf>
    <xf numFmtId="0" fontId="6" fillId="7" borderId="0" xfId="0" applyFont="1" applyFill="1" applyAlignment="1" applyProtection="1">
      <alignment horizontal="center" vertical="center" wrapText="1"/>
    </xf>
    <xf numFmtId="0" fontId="6" fillId="7" borderId="6" xfId="0" applyFont="1" applyFill="1" applyBorder="1" applyAlignment="1" applyProtection="1">
      <alignment horizontal="center" vertical="center" wrapText="1"/>
    </xf>
    <xf numFmtId="0" fontId="6" fillId="7" borderId="7" xfId="0" applyFont="1" applyFill="1" applyBorder="1" applyAlignment="1" applyProtection="1">
      <alignment horizontal="center" vertical="center" wrapText="1"/>
    </xf>
    <xf numFmtId="0" fontId="6" fillId="7" borderId="8" xfId="0" applyFont="1" applyFill="1" applyBorder="1" applyAlignment="1" applyProtection="1">
      <alignment horizontal="center" vertical="center" wrapText="1"/>
    </xf>
    <xf numFmtId="0" fontId="6" fillId="7" borderId="9" xfId="0" applyFont="1" applyFill="1" applyBorder="1" applyAlignment="1" applyProtection="1">
      <alignment horizontal="center" vertical="center" wrapText="1"/>
    </xf>
    <xf numFmtId="0" fontId="0" fillId="16" borderId="1" xfId="0" applyFill="1" applyBorder="1" applyAlignment="1" applyProtection="1">
      <alignment horizontal="center" vertical="center"/>
      <protection locked="0"/>
    </xf>
    <xf numFmtId="1" fontId="0" fillId="7" borderId="21" xfId="0" applyNumberFormat="1" applyFill="1" applyBorder="1" applyAlignment="1" applyProtection="1">
      <alignment horizontal="center" vertical="center"/>
    </xf>
    <xf numFmtId="0" fontId="0" fillId="16" borderId="23" xfId="0" applyFill="1" applyBorder="1" applyAlignment="1" applyProtection="1">
      <alignment horizontal="center" vertical="center"/>
      <protection locked="0"/>
    </xf>
    <xf numFmtId="0" fontId="0" fillId="16" borderId="21" xfId="0" applyFill="1" applyBorder="1" applyAlignment="1" applyProtection="1">
      <alignment horizontal="center" vertical="center"/>
      <protection locked="0"/>
    </xf>
    <xf numFmtId="0" fontId="0" fillId="16" borderId="20" xfId="0" applyFill="1" applyBorder="1" applyAlignment="1" applyProtection="1">
      <alignment horizontal="center" vertical="center"/>
      <protection locked="0"/>
    </xf>
    <xf numFmtId="0" fontId="17" fillId="6" borderId="10" xfId="0" applyFont="1" applyFill="1" applyBorder="1" applyAlignment="1" applyProtection="1">
      <alignment horizontal="center" vertical="center"/>
    </xf>
    <xf numFmtId="0" fontId="17" fillId="6" borderId="11" xfId="0" applyFont="1" applyFill="1" applyBorder="1" applyAlignment="1" applyProtection="1">
      <alignment horizontal="center" vertical="center"/>
    </xf>
    <xf numFmtId="1" fontId="0" fillId="7" borderId="0" xfId="0" applyNumberFormat="1" applyFill="1" applyAlignment="1" applyProtection="1">
      <alignment horizontal="center" vertical="center"/>
    </xf>
    <xf numFmtId="1" fontId="0" fillId="7" borderId="22" xfId="0" applyNumberFormat="1" applyFill="1" applyBorder="1" applyAlignment="1" applyProtection="1">
      <alignment horizontal="center" vertical="center"/>
    </xf>
    <xf numFmtId="167" fontId="0" fillId="7" borderId="0" xfId="0" applyNumberFormat="1" applyFill="1" applyAlignment="1" applyProtection="1">
      <alignment horizontal="center" vertical="center"/>
    </xf>
    <xf numFmtId="1" fontId="0" fillId="7" borderId="8" xfId="0" applyNumberFormat="1" applyFill="1" applyBorder="1" applyAlignment="1" applyProtection="1">
      <alignment horizontal="center" vertical="center"/>
    </xf>
    <xf numFmtId="9" fontId="0" fillId="16" borderId="23" xfId="0" applyNumberFormat="1" applyFill="1" applyBorder="1" applyAlignment="1" applyProtection="1">
      <alignment horizontal="center" vertical="center"/>
      <protection locked="0"/>
    </xf>
    <xf numFmtId="9" fontId="0" fillId="16" borderId="21" xfId="0" applyNumberFormat="1" applyFill="1" applyBorder="1" applyAlignment="1" applyProtection="1">
      <alignment horizontal="center" vertical="center"/>
      <protection locked="0"/>
    </xf>
    <xf numFmtId="9" fontId="0" fillId="16" borderId="20" xfId="0" applyNumberFormat="1" applyFill="1" applyBorder="1" applyAlignment="1" applyProtection="1">
      <alignment horizontal="center" vertical="center"/>
      <protection locked="0"/>
    </xf>
    <xf numFmtId="0" fontId="3" fillId="3" borderId="0" xfId="0" applyFont="1" applyFill="1" applyAlignment="1" applyProtection="1">
      <alignment horizontal="center" vertical="center" wrapText="1"/>
    </xf>
    <xf numFmtId="0" fontId="3" fillId="11" borderId="10" xfId="0" applyFont="1" applyFill="1" applyBorder="1" applyAlignment="1" applyProtection="1">
      <alignment horizontal="left" vertical="top" wrapText="1"/>
    </xf>
    <xf numFmtId="0" fontId="3" fillId="11" borderId="11" xfId="0" applyFont="1" applyFill="1" applyBorder="1" applyAlignment="1" applyProtection="1">
      <alignment horizontal="left" vertical="top" wrapText="1"/>
    </xf>
    <xf numFmtId="0" fontId="3" fillId="11" borderId="12" xfId="0" applyFont="1" applyFill="1" applyBorder="1" applyAlignment="1" applyProtection="1">
      <alignment horizontal="left" vertical="top" wrapText="1"/>
    </xf>
    <xf numFmtId="0" fontId="20" fillId="22" borderId="5" xfId="0" applyFont="1" applyFill="1" applyBorder="1" applyAlignment="1">
      <alignment horizontal="left" vertical="center" wrapText="1"/>
    </xf>
    <xf numFmtId="0" fontId="6" fillId="7" borderId="24"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0" fillId="6" borderId="3" xfId="0" applyFill="1" applyBorder="1" applyAlignment="1">
      <alignment horizontal="center"/>
    </xf>
    <xf numFmtId="0" fontId="0" fillId="6" borderId="4" xfId="0" applyFill="1" applyBorder="1" applyAlignment="1">
      <alignment horizontal="center"/>
    </xf>
    <xf numFmtId="164" fontId="9" fillId="16" borderId="0" xfId="0" applyNumberFormat="1" applyFont="1" applyFill="1" applyAlignment="1">
      <alignment horizontal="center" vertical="center"/>
    </xf>
    <xf numFmtId="0" fontId="9" fillId="16" borderId="0" xfId="0" applyFont="1" applyFill="1" applyAlignment="1">
      <alignment horizontal="center"/>
    </xf>
    <xf numFmtId="0" fontId="9" fillId="16" borderId="6" xfId="0" applyFont="1" applyFill="1" applyBorder="1" applyAlignment="1">
      <alignment horizontal="center"/>
    </xf>
    <xf numFmtId="0" fontId="0" fillId="25" borderId="2" xfId="0" applyFill="1" applyBorder="1" applyAlignment="1">
      <alignment horizontal="right"/>
    </xf>
    <xf numFmtId="0" fontId="0" fillId="25" borderId="3" xfId="0" applyFill="1" applyBorder="1" applyAlignment="1">
      <alignment horizontal="right"/>
    </xf>
    <xf numFmtId="0" fontId="0" fillId="16" borderId="3" xfId="0" applyFill="1" applyBorder="1" applyAlignment="1">
      <alignment horizontal="center"/>
    </xf>
    <xf numFmtId="0" fontId="0" fillId="16" borderId="4" xfId="0" applyFill="1" applyBorder="1" applyAlignment="1">
      <alignment horizontal="center"/>
    </xf>
    <xf numFmtId="0" fontId="0" fillId="16" borderId="3" xfId="0" applyFill="1" applyBorder="1" applyAlignment="1">
      <alignment horizontal="center" vertical="center"/>
    </xf>
    <xf numFmtId="0" fontId="0" fillId="16" borderId="0" xfId="0" applyFill="1" applyAlignment="1">
      <alignment horizontal="center" vertical="center"/>
    </xf>
  </cellXfs>
  <cellStyles count="4">
    <cellStyle name="Currency" xfId="2" builtinId="4"/>
    <cellStyle name="Millares 2" xfId="3"/>
    <cellStyle name="Normal" xfId="0" builtinId="0"/>
    <cellStyle name="Percent" xfId="1" builtinId="5"/>
  </cellStyles>
  <dxfs count="167">
    <dxf>
      <fill>
        <patternFill>
          <bgColor rgb="FFFF0000"/>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0000"/>
        </patternFill>
      </fill>
    </dxf>
    <dxf>
      <fill>
        <patternFill>
          <bgColor rgb="FFFF0000"/>
        </patternFill>
      </fill>
    </dxf>
    <dxf>
      <font>
        <b/>
        <i val="0"/>
      </font>
      <fill>
        <patternFill>
          <bgColor rgb="FFFF0000"/>
        </patternFill>
      </fill>
    </dxf>
    <dxf>
      <font>
        <b/>
        <i val="0"/>
      </font>
      <fill>
        <patternFill>
          <bgColor rgb="FFFF0000"/>
        </patternFill>
      </fill>
    </dxf>
    <dxf>
      <fill>
        <patternFill patternType="solid">
          <fgColor indexed="64"/>
          <bgColor theme="0" tint="-4.9989318521683403E-2"/>
        </patternFill>
      </fill>
      <protection locked="1" hidden="0"/>
    </dxf>
    <dxf>
      <numFmt numFmtId="3" formatCode="#,##0"/>
      <fill>
        <patternFill patternType="solid">
          <fgColor indexed="64"/>
          <bgColor theme="9" tint="0.59999389629810485"/>
        </patternFill>
      </fill>
      <border diagonalUp="0" diagonalDown="0" outline="0">
        <left/>
        <right/>
        <top/>
        <bottom/>
      </border>
      <protection locked="1" hidden="0"/>
    </dxf>
    <dxf>
      <numFmt numFmtId="3" formatCode="#,##0"/>
      <fill>
        <patternFill patternType="solid">
          <fgColor indexed="64"/>
          <bgColor theme="0"/>
        </patternFill>
      </fill>
      <border diagonalUp="0" diagonalDown="0">
        <left/>
        <right/>
        <top style="thin">
          <color indexed="64"/>
        </top>
        <bottom style="thin">
          <color indexed="64"/>
        </bottom>
      </border>
      <protection locked="0" hidden="0"/>
    </dxf>
    <dxf>
      <numFmt numFmtId="3" formatCode="#,##0"/>
      <fill>
        <patternFill patternType="solid">
          <fgColor indexed="64"/>
          <bgColor theme="0"/>
        </patternFill>
      </fill>
      <border diagonalUp="0" diagonalDown="0" outline="0">
        <left/>
        <right style="thin">
          <color indexed="64"/>
        </right>
        <top style="thin">
          <color indexed="64"/>
        </top>
        <bottom style="thin">
          <color indexed="64"/>
        </bottom>
      </border>
      <protection locked="0" hidden="0"/>
    </dxf>
    <dxf>
      <numFmt numFmtId="3" formatCode="#,##0"/>
      <fill>
        <patternFill patternType="solid">
          <fgColor indexed="64"/>
          <bgColor theme="0"/>
        </patternFill>
      </fill>
      <border diagonalUp="0" diagonalDown="0">
        <left/>
        <right style="thin">
          <color indexed="64"/>
        </right>
        <top style="thin">
          <color indexed="64"/>
        </top>
        <bottom style="thin">
          <color indexed="64"/>
        </bottom>
      </border>
      <protection locked="0" hidden="0"/>
    </dxf>
    <dxf>
      <numFmt numFmtId="3"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numFmt numFmtId="13" formatCode="0%"/>
      <fill>
        <patternFill patternType="solid">
          <fgColor indexed="64"/>
          <bgColor theme="0" tint="-4.9989318521683403E-2"/>
        </patternFill>
      </fill>
      <protection locked="1" hidden="0"/>
    </dxf>
    <dxf>
      <numFmt numFmtId="13" formatCode="0%"/>
      <fill>
        <patternFill patternType="solid">
          <fgColor indexed="64"/>
          <bgColor theme="9" tint="0.59999389629810485"/>
        </patternFill>
      </fill>
      <border diagonalUp="0" diagonalDown="0" outline="0">
        <left/>
        <right/>
        <top/>
        <bottom/>
      </border>
      <protection locked="1" hidden="0"/>
    </dxf>
    <dxf>
      <numFmt numFmtId="3" formatCode="#,##0"/>
      <fill>
        <patternFill patternType="solid">
          <fgColor indexed="64"/>
          <bgColor theme="0"/>
        </patternFill>
      </fill>
      <border diagonalUp="0" diagonalDown="0">
        <left style="thin">
          <color indexed="64"/>
        </left>
        <right/>
        <top style="thin">
          <color indexed="64"/>
        </top>
        <bottom style="thin">
          <color indexed="64"/>
        </bottom>
      </border>
      <protection locked="0" hidden="0"/>
    </dxf>
    <dxf>
      <numFmt numFmtId="3"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patternFill>
      </fill>
      <border diagonalUp="0" diagonalDown="0">
        <left style="thin">
          <color indexed="64"/>
        </left>
        <right/>
        <top style="thin">
          <color indexed="64"/>
        </top>
        <bottom style="thin">
          <color indexed="64"/>
        </bottom>
        <vertical/>
        <horizontal/>
      </border>
      <protection locked="0" hidden="0"/>
    </dxf>
    <dxf>
      <fill>
        <patternFill patternType="solid">
          <fgColor indexed="64"/>
          <bgColor theme="0"/>
        </patternFill>
      </fill>
      <border diagonalUp="0" diagonalDown="0" outline="0">
        <left style="thin">
          <color indexed="64"/>
        </left>
        <right/>
        <top style="thin">
          <color indexed="64"/>
        </top>
        <bottom style="thin">
          <color indexed="64"/>
        </bottom>
      </border>
      <protection locked="0" hidden="0"/>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patternFill>
      </fill>
      <border diagonalUp="0" diagonalDown="0">
        <left/>
        <right style="thin">
          <color indexed="64"/>
        </right>
        <top style="thin">
          <color indexed="64"/>
        </top>
        <bottom style="thin">
          <color indexed="64"/>
        </bottom>
        <vertical/>
        <horizontal/>
      </border>
      <protection locked="0" hidden="0"/>
    </dxf>
    <dxf>
      <fill>
        <patternFill patternType="solid">
          <fgColor indexed="64"/>
          <bgColor theme="0"/>
        </patternFill>
      </fill>
      <border diagonalUp="0" diagonalDown="0" outline="0">
        <left/>
        <right style="thin">
          <color indexed="64"/>
        </right>
        <top style="thin">
          <color indexed="64"/>
        </top>
        <bottom style="thin">
          <color indexed="64"/>
        </bottom>
      </border>
      <protection locked="0" hidden="0"/>
    </dxf>
    <dxf>
      <border outline="0">
        <left style="medium">
          <color indexed="64"/>
        </left>
        <right style="medium">
          <color indexed="64"/>
        </right>
        <bottom style="medium">
          <color indexed="64"/>
        </bottom>
      </border>
    </dxf>
    <dxf>
      <protection locked="1" hidden="0"/>
    </dxf>
    <dxf>
      <protection locked="1" hidden="0"/>
    </dxf>
    <dxf>
      <fill>
        <patternFill patternType="solid">
          <fgColor indexed="64"/>
          <bgColor theme="0" tint="-4.9989318521683403E-2"/>
        </patternFill>
      </fill>
      <protection locked="1" hidden="0"/>
    </dxf>
    <dxf>
      <fill>
        <patternFill patternType="solid">
          <fgColor indexed="64"/>
          <bgColor theme="9" tint="0.59999389629810485"/>
        </patternFill>
      </fill>
      <border diagonalUp="0" diagonalDown="0" outline="0">
        <left/>
        <right/>
        <top/>
        <bottom/>
      </border>
      <protection locked="1" hidden="0"/>
    </dxf>
    <dxf>
      <numFmt numFmtId="3" formatCode="#,##0"/>
      <fill>
        <patternFill patternType="solid">
          <fgColor indexed="64"/>
          <bgColor theme="0"/>
        </patternFill>
      </fill>
      <border diagonalUp="0" diagonalDown="0">
        <left/>
        <right/>
        <top style="thin">
          <color indexed="64"/>
        </top>
        <bottom style="thin">
          <color indexed="64"/>
        </bottom>
      </border>
      <protection locked="0" hidden="0"/>
    </dxf>
    <dxf>
      <numFmt numFmtId="3" formatCode="#,##0"/>
      <fill>
        <patternFill patternType="solid">
          <fgColor indexed="64"/>
          <bgColor theme="0"/>
        </patternFill>
      </fill>
      <border diagonalUp="0" diagonalDown="0" outline="0">
        <left/>
        <right style="thin">
          <color indexed="64"/>
        </right>
        <top style="thin">
          <color indexed="64"/>
        </top>
        <bottom style="thin">
          <color indexed="64"/>
        </bottom>
      </border>
      <protection locked="0" hidden="0"/>
    </dxf>
    <dxf>
      <numFmt numFmtId="3" formatCode="#,##0"/>
      <fill>
        <patternFill patternType="solid">
          <fgColor indexed="64"/>
          <bgColor theme="0"/>
        </patternFill>
      </fill>
      <border diagonalUp="0" diagonalDown="0">
        <left/>
        <right style="thin">
          <color indexed="64"/>
        </right>
        <top style="thin">
          <color indexed="64"/>
        </top>
        <bottom style="thin">
          <color indexed="64"/>
        </bottom>
      </border>
      <protection locked="0" hidden="0"/>
    </dxf>
    <dxf>
      <numFmt numFmtId="3"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numFmt numFmtId="13" formatCode="0%"/>
      <fill>
        <patternFill patternType="solid">
          <fgColor indexed="64"/>
          <bgColor theme="0" tint="-4.9989318521683403E-2"/>
        </patternFill>
      </fill>
      <protection locked="1" hidden="0"/>
    </dxf>
    <dxf>
      <numFmt numFmtId="13" formatCode="0%"/>
      <fill>
        <patternFill patternType="solid">
          <fgColor indexed="64"/>
          <bgColor theme="9" tint="0.59999389629810485"/>
        </patternFill>
      </fill>
      <border diagonalUp="0" diagonalDown="0" outline="0">
        <left/>
        <right/>
        <top/>
        <bottom/>
      </border>
      <protection locked="1" hidden="0"/>
    </dxf>
    <dxf>
      <numFmt numFmtId="3" formatCode="#,##0"/>
      <fill>
        <patternFill patternType="solid">
          <fgColor indexed="64"/>
          <bgColor theme="0"/>
        </patternFill>
      </fill>
      <border diagonalUp="0" diagonalDown="0">
        <left style="thin">
          <color indexed="64"/>
        </left>
        <right/>
        <top style="thin">
          <color indexed="64"/>
        </top>
        <bottom style="thin">
          <color indexed="64"/>
        </bottom>
      </border>
      <protection locked="0" hidden="0"/>
    </dxf>
    <dxf>
      <numFmt numFmtId="3"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patternFill>
      </fill>
      <border diagonalUp="0" diagonalDown="0">
        <left style="thin">
          <color indexed="64"/>
        </left>
        <right/>
        <top style="thin">
          <color indexed="64"/>
        </top>
        <bottom style="thin">
          <color indexed="64"/>
        </bottom>
        <vertical/>
        <horizontal/>
      </border>
      <protection locked="0" hidden="0"/>
    </dxf>
    <dxf>
      <fill>
        <patternFill patternType="solid">
          <fgColor indexed="64"/>
          <bgColor theme="0"/>
        </patternFill>
      </fill>
      <border diagonalUp="0" diagonalDown="0" outline="0">
        <left style="thin">
          <color indexed="64"/>
        </left>
        <right/>
        <top style="thin">
          <color indexed="64"/>
        </top>
        <bottom style="thin">
          <color indexed="64"/>
        </bottom>
      </border>
      <protection locked="0" hidden="0"/>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patternFill>
      </fill>
      <border diagonalUp="0" diagonalDown="0">
        <left/>
        <right style="thin">
          <color indexed="64"/>
        </right>
        <top style="thin">
          <color indexed="64"/>
        </top>
        <bottom style="thin">
          <color indexed="64"/>
        </bottom>
        <vertical/>
        <horizontal/>
      </border>
      <protection locked="0" hidden="0"/>
    </dxf>
    <dxf>
      <fill>
        <patternFill patternType="solid">
          <fgColor indexed="64"/>
          <bgColor theme="0"/>
        </patternFill>
      </fill>
      <border diagonalUp="0" diagonalDown="0" outline="0">
        <left/>
        <right style="thin">
          <color indexed="64"/>
        </right>
        <top style="thin">
          <color indexed="64"/>
        </top>
        <bottom style="thin">
          <color indexed="64"/>
        </bottom>
      </border>
      <protection locked="0" hidden="0"/>
    </dxf>
    <dxf>
      <border outline="0">
        <left style="medium">
          <color indexed="64"/>
        </left>
        <right style="medium">
          <color indexed="64"/>
        </right>
        <bottom style="medium">
          <color indexed="64"/>
        </bottom>
      </border>
    </dxf>
    <dxf>
      <protection locked="1" hidden="0"/>
    </dxf>
    <dxf>
      <protection locked="1" hidden="0"/>
    </dxf>
    <dxf>
      <fill>
        <patternFill patternType="solid">
          <fgColor indexed="64"/>
          <bgColor theme="0" tint="-4.9989318521683403E-2"/>
        </patternFill>
      </fill>
      <protection locked="1" hidden="0"/>
    </dxf>
    <dxf>
      <fill>
        <patternFill patternType="solid">
          <fgColor indexed="64"/>
          <bgColor theme="9" tint="0.59999389629810485"/>
        </patternFill>
      </fill>
      <border diagonalUp="0" diagonalDown="0" outline="0">
        <left/>
        <right/>
        <top/>
        <bottom/>
      </border>
      <protection locked="1" hidden="0"/>
    </dxf>
    <dxf>
      <numFmt numFmtId="3" formatCode="#,##0"/>
      <fill>
        <patternFill patternType="solid">
          <fgColor indexed="64"/>
          <bgColor theme="0"/>
        </patternFill>
      </fill>
      <border diagonalUp="0" diagonalDown="0">
        <left/>
        <right/>
        <top style="thin">
          <color indexed="64"/>
        </top>
        <bottom style="thin">
          <color indexed="64"/>
        </bottom>
      </border>
      <protection locked="0" hidden="0"/>
    </dxf>
    <dxf>
      <numFmt numFmtId="3" formatCode="#,##0"/>
      <fill>
        <patternFill patternType="solid">
          <fgColor indexed="64"/>
          <bgColor theme="0"/>
        </patternFill>
      </fill>
      <border diagonalUp="0" diagonalDown="0" outline="0">
        <left/>
        <right style="thin">
          <color indexed="64"/>
        </right>
        <top style="thin">
          <color indexed="64"/>
        </top>
        <bottom style="thin">
          <color indexed="64"/>
        </bottom>
      </border>
      <protection locked="0" hidden="0"/>
    </dxf>
    <dxf>
      <numFmt numFmtId="3" formatCode="#,##0"/>
      <fill>
        <patternFill patternType="solid">
          <fgColor indexed="64"/>
          <bgColor theme="0"/>
        </patternFill>
      </fill>
      <border diagonalUp="0" diagonalDown="0">
        <left/>
        <right style="thin">
          <color indexed="64"/>
        </right>
        <top style="thin">
          <color indexed="64"/>
        </top>
        <bottom style="thin">
          <color indexed="64"/>
        </bottom>
      </border>
      <protection locked="0" hidden="0"/>
    </dxf>
    <dxf>
      <numFmt numFmtId="3"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numFmt numFmtId="13" formatCode="0%"/>
      <fill>
        <patternFill patternType="solid">
          <fgColor indexed="64"/>
          <bgColor theme="0" tint="-4.9989318521683403E-2"/>
        </patternFill>
      </fill>
      <protection locked="1" hidden="0"/>
    </dxf>
    <dxf>
      <numFmt numFmtId="13" formatCode="0%"/>
      <fill>
        <patternFill patternType="solid">
          <fgColor indexed="64"/>
          <bgColor theme="9" tint="0.59999389629810485"/>
        </patternFill>
      </fill>
      <border diagonalUp="0" diagonalDown="0" outline="0">
        <left/>
        <right/>
        <top/>
        <bottom/>
      </border>
      <protection locked="1" hidden="0"/>
    </dxf>
    <dxf>
      <numFmt numFmtId="3" formatCode="#,##0"/>
      <fill>
        <patternFill patternType="solid">
          <fgColor indexed="64"/>
          <bgColor theme="0"/>
        </patternFill>
      </fill>
      <border diagonalUp="0" diagonalDown="0">
        <left style="thin">
          <color indexed="64"/>
        </left>
        <right/>
        <top style="thin">
          <color indexed="64"/>
        </top>
        <bottom style="thin">
          <color indexed="64"/>
        </bottom>
      </border>
      <protection locked="0" hidden="0"/>
    </dxf>
    <dxf>
      <numFmt numFmtId="3"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patternFill>
      </fill>
      <border diagonalUp="0" diagonalDown="0">
        <left style="thin">
          <color indexed="64"/>
        </left>
        <right/>
        <top style="thin">
          <color indexed="64"/>
        </top>
        <bottom style="thin">
          <color indexed="64"/>
        </bottom>
        <vertical/>
        <horizontal/>
      </border>
      <protection locked="0" hidden="0"/>
    </dxf>
    <dxf>
      <fill>
        <patternFill patternType="solid">
          <fgColor indexed="64"/>
          <bgColor theme="0"/>
        </patternFill>
      </fill>
      <border diagonalUp="0" diagonalDown="0" outline="0">
        <left style="thin">
          <color indexed="64"/>
        </left>
        <right/>
        <top style="thin">
          <color indexed="64"/>
        </top>
        <bottom style="thin">
          <color indexed="64"/>
        </bottom>
      </border>
      <protection locked="0" hidden="0"/>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patternFill>
      </fill>
      <border diagonalUp="0" diagonalDown="0">
        <left/>
        <right style="thin">
          <color indexed="64"/>
        </right>
        <top style="thin">
          <color indexed="64"/>
        </top>
        <bottom style="thin">
          <color indexed="64"/>
        </bottom>
        <vertical/>
        <horizontal/>
      </border>
      <protection locked="0" hidden="0"/>
    </dxf>
    <dxf>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medium">
          <color indexed="64"/>
        </left>
        <right style="medium">
          <color indexed="64"/>
        </right>
        <bottom style="medium">
          <color indexed="64"/>
        </bottom>
      </border>
    </dxf>
    <dxf>
      <protection locked="1" hidden="0"/>
    </dxf>
    <dxf>
      <protection locked="1" hidden="0"/>
    </dxf>
    <dxf>
      <fill>
        <patternFill patternType="solid">
          <fgColor indexed="64"/>
          <bgColor theme="0" tint="-4.9989318521683403E-2"/>
        </patternFill>
      </fill>
      <protection locked="1" hidden="0"/>
    </dxf>
    <dxf>
      <fill>
        <patternFill patternType="solid">
          <fgColor indexed="64"/>
          <bgColor theme="9" tint="0.59999389629810485"/>
        </patternFill>
      </fill>
      <border diagonalUp="0" diagonalDown="0" outline="0">
        <left/>
        <right/>
        <top/>
        <bottom/>
      </border>
      <protection locked="1" hidden="0"/>
    </dxf>
    <dxf>
      <numFmt numFmtId="3" formatCode="#,##0"/>
      <fill>
        <patternFill patternType="solid">
          <fgColor indexed="64"/>
          <bgColor theme="0"/>
        </patternFill>
      </fill>
      <border diagonalUp="0" diagonalDown="0">
        <left style="thin">
          <color indexed="64"/>
        </left>
        <right/>
        <top style="thin">
          <color indexed="64"/>
        </top>
        <bottom style="thin">
          <color indexed="64"/>
        </bottom>
      </border>
      <protection locked="0" hidden="0"/>
    </dxf>
    <dxf>
      <numFmt numFmtId="3"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numFmt numFmtId="3" formatCode="#,##0"/>
      <fill>
        <patternFill patternType="solid">
          <fgColor indexed="64"/>
          <bgColor theme="0"/>
        </patternFill>
      </fill>
      <border diagonalUp="0" diagonalDown="0">
        <left/>
        <right style="thin">
          <color indexed="64"/>
        </right>
        <top style="thin">
          <color indexed="64"/>
        </top>
        <bottom style="thin">
          <color indexed="64"/>
        </bottom>
      </border>
      <protection locked="0" hidden="0"/>
    </dxf>
    <dxf>
      <numFmt numFmtId="3"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fill>
        <patternFill patternType="solid">
          <fgColor indexed="64"/>
          <bgColor theme="0" tint="-4.9989318521683403E-2"/>
        </patternFill>
      </fill>
      <protection locked="1" hidden="0"/>
    </dxf>
    <dxf>
      <font>
        <b val="0"/>
        <i val="0"/>
        <strike val="0"/>
        <condense val="0"/>
        <extend val="0"/>
        <outline val="0"/>
        <shadow val="0"/>
        <u val="none"/>
        <vertAlign val="baseline"/>
        <sz val="11"/>
        <color theme="1"/>
        <name val="Calibri"/>
        <scheme val="minor"/>
      </font>
      <numFmt numFmtId="13" formatCode="0%"/>
      <fill>
        <patternFill patternType="solid">
          <fgColor indexed="64"/>
          <bgColor theme="9" tint="0.59999389629810485"/>
        </patternFill>
      </fill>
      <border diagonalUp="0" diagonalDown="0" outline="0">
        <left/>
        <right/>
        <top/>
        <bottom/>
      </border>
      <protection locked="1" hidden="0"/>
    </dxf>
    <dxf>
      <numFmt numFmtId="3" formatCode="#,##0"/>
      <fill>
        <patternFill patternType="solid">
          <fgColor indexed="64"/>
          <bgColor theme="0"/>
        </patternFill>
      </fill>
      <border diagonalUp="0" diagonalDown="0">
        <left style="thin">
          <color indexed="64"/>
        </left>
        <right/>
        <top style="thin">
          <color indexed="64"/>
        </top>
        <bottom style="thin">
          <color indexed="64"/>
        </bottom>
      </border>
      <protection locked="0" hidden="0"/>
    </dxf>
    <dxf>
      <numFmt numFmtId="3"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patternFill>
      </fill>
      <border diagonalUp="0" diagonalDown="0">
        <left/>
        <right style="thin">
          <color indexed="64"/>
        </right>
        <top style="thin">
          <color indexed="64"/>
        </top>
        <bottom style="thin">
          <color indexed="64"/>
        </bottom>
        <vertical/>
        <horizontal/>
      </border>
      <protection locked="0" hidden="0"/>
    </dxf>
    <dxf>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medium">
          <color indexed="64"/>
        </left>
        <right style="medium">
          <color indexed="64"/>
        </right>
        <bottom style="medium">
          <color indexed="64"/>
        </bottom>
      </border>
    </dxf>
    <dxf>
      <numFmt numFmtId="179" formatCode="#.##0"/>
      <fill>
        <patternFill patternType="solid">
          <fgColor indexed="64"/>
          <bgColor theme="0"/>
        </patternFill>
      </fill>
      <protection locked="1" hidden="0"/>
    </dxf>
    <dxf>
      <numFmt numFmtId="3" formatCode="#,##0"/>
      <fill>
        <patternFill patternType="solid">
          <fgColor indexed="64"/>
          <bgColor theme="0"/>
        </patternFill>
      </fill>
      <border diagonalUp="0" diagonalDown="0">
        <left style="thin">
          <color indexed="64"/>
        </left>
        <right style="thin">
          <color indexed="64"/>
        </right>
        <top/>
        <bottom/>
      </border>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1D1D"/>
      <color rgb="FFFF7575"/>
      <color rgb="FFE20000"/>
      <color rgb="FFFF4B4B"/>
      <color rgb="FFFAAE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Typical_costs!$F$13</c:f>
          <c:strCache>
            <c:ptCount val="1"/>
            <c:pt idx="0">
              <c:v>Recolección y transporte [$$$/ton]</c:v>
            </c:pt>
          </c:strCache>
        </c:strRef>
      </c:tx>
      <c:layout>
        <c:manualLayout>
          <c:xMode val="edge"/>
          <c:yMode val="edge"/>
          <c:x val="9.1511035131312993E-2"/>
          <c:y val="5.3965674431648909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8.6191446529786803E-2"/>
          <c:y val="0.22239854051887312"/>
          <c:w val="0.85222307568456168"/>
          <c:h val="0.4408953108408683"/>
        </c:manualLayout>
      </c:layout>
      <c:barChart>
        <c:barDir val="col"/>
        <c:grouping val="stacked"/>
        <c:varyColors val="0"/>
        <c:ser>
          <c:idx val="0"/>
          <c:order val="0"/>
          <c:spPr>
            <a:noFill/>
            <a:ln>
              <a:noFill/>
            </a:ln>
            <a:effectLst/>
          </c:spPr>
          <c:invertIfNegative val="0"/>
          <c:cat>
            <c:strRef>
              <c:f>Typical_costs!$B$14:$B$20</c:f>
              <c:strCache>
                <c:ptCount val="6"/>
                <c:pt idx="1">
                  <c:v>País de ingreso bajo</c:v>
                </c:pt>
                <c:pt idx="2">
                  <c:v>País de ingreso mediano bajo</c:v>
                </c:pt>
                <c:pt idx="3">
                  <c:v>País de ingreso mediano alto</c:v>
                </c:pt>
                <c:pt idx="4">
                  <c:v>País de ingreso alto</c:v>
                </c:pt>
                <c:pt idx="5">
                  <c:v>Costos típicos del país</c:v>
                </c:pt>
              </c:strCache>
            </c:strRef>
          </c:cat>
          <c:val>
            <c:numRef>
              <c:f>Typical_costs!$F$14:$F$20</c:f>
              <c:numCache>
                <c:formatCode>General</c:formatCode>
                <c:ptCount val="7"/>
                <c:pt idx="1">
                  <c:v>20</c:v>
                </c:pt>
                <c:pt idx="2">
                  <c:v>30</c:v>
                </c:pt>
                <c:pt idx="3">
                  <c:v>40</c:v>
                </c:pt>
                <c:pt idx="4">
                  <c:v>85</c:v>
                </c:pt>
                <c:pt idx="5">
                  <c:v>0</c:v>
                </c:pt>
              </c:numCache>
            </c:numRef>
          </c:val>
          <c:extLst>
            <c:ext xmlns:c16="http://schemas.microsoft.com/office/drawing/2014/chart" uri="{C3380CC4-5D6E-409C-BE32-E72D297353CC}">
              <c16:uniqueId val="{00000000-E420-43E9-9E39-761074643E58}"/>
            </c:ext>
          </c:extLst>
        </c:ser>
        <c:ser>
          <c:idx val="1"/>
          <c:order val="1"/>
          <c:spPr>
            <a:solidFill>
              <a:schemeClr val="bg1">
                <a:lumMod val="85000"/>
              </a:schemeClr>
            </a:solidFill>
            <a:ln>
              <a:noFill/>
            </a:ln>
            <a:effectLst/>
          </c:spPr>
          <c:invertIfNegative val="0"/>
          <c:cat>
            <c:strRef>
              <c:f>Typical_costs!$B$14:$B$20</c:f>
              <c:strCache>
                <c:ptCount val="6"/>
                <c:pt idx="1">
                  <c:v>País de ingreso bajo</c:v>
                </c:pt>
                <c:pt idx="2">
                  <c:v>País de ingreso mediano bajo</c:v>
                </c:pt>
                <c:pt idx="3">
                  <c:v>País de ingreso mediano alto</c:v>
                </c:pt>
                <c:pt idx="4">
                  <c:v>País de ingreso alto</c:v>
                </c:pt>
                <c:pt idx="5">
                  <c:v>Costos típicos del país</c:v>
                </c:pt>
              </c:strCache>
            </c:strRef>
          </c:cat>
          <c:val>
            <c:numRef>
              <c:f>Typical_costs!$G$14:$G$20</c:f>
              <c:numCache>
                <c:formatCode>General</c:formatCode>
                <c:ptCount val="7"/>
                <c:pt idx="1">
                  <c:v>30</c:v>
                </c:pt>
                <c:pt idx="2">
                  <c:v>45</c:v>
                </c:pt>
                <c:pt idx="3">
                  <c:v>50</c:v>
                </c:pt>
                <c:pt idx="4">
                  <c:v>165</c:v>
                </c:pt>
                <c:pt idx="5">
                  <c:v>0</c:v>
                </c:pt>
              </c:numCache>
            </c:numRef>
          </c:val>
          <c:extLst>
            <c:ext xmlns:c16="http://schemas.microsoft.com/office/drawing/2014/chart" uri="{C3380CC4-5D6E-409C-BE32-E72D297353CC}">
              <c16:uniqueId val="{00000001-E420-43E9-9E39-761074643E58}"/>
            </c:ext>
          </c:extLst>
        </c:ser>
        <c:dLbls>
          <c:showLegendKey val="0"/>
          <c:showVal val="0"/>
          <c:showCatName val="0"/>
          <c:showSerName val="0"/>
          <c:showPercent val="0"/>
          <c:showBubbleSize val="0"/>
        </c:dLbls>
        <c:gapWidth val="150"/>
        <c:overlap val="100"/>
        <c:axId val="1489102752"/>
        <c:axId val="1489099424"/>
      </c:barChart>
      <c:lineChart>
        <c:grouping val="standard"/>
        <c:varyColors val="0"/>
        <c:ser>
          <c:idx val="2"/>
          <c:order val="2"/>
          <c:tx>
            <c:strRef>
              <c:f>Typical_costs!$B$21</c:f>
              <c:strCache>
                <c:ptCount val="1"/>
                <c:pt idx="0">
                  <c:v>Caso real actual</c:v>
                </c:pt>
              </c:strCache>
            </c:strRef>
          </c:tx>
          <c:spPr>
            <a:ln w="28575" cap="rnd">
              <a:solidFill>
                <a:srgbClr val="002060"/>
              </a:solidFill>
              <a:round/>
            </a:ln>
            <a:effectLst/>
          </c:spPr>
          <c:marker>
            <c:symbol val="none"/>
          </c:marker>
          <c:cat>
            <c:strRef>
              <c:f>Typical_costs!$B$14:$B$20</c:f>
              <c:strCache>
                <c:ptCount val="6"/>
                <c:pt idx="1">
                  <c:v>País de ingreso bajo</c:v>
                </c:pt>
                <c:pt idx="2">
                  <c:v>País de ingreso mediano bajo</c:v>
                </c:pt>
                <c:pt idx="3">
                  <c:v>País de ingreso mediano alto</c:v>
                </c:pt>
                <c:pt idx="4">
                  <c:v>País de ingreso alto</c:v>
                </c:pt>
                <c:pt idx="5">
                  <c:v>Costos típicos del país</c:v>
                </c:pt>
              </c:strCache>
            </c:strRef>
          </c:cat>
          <c:val>
            <c:numRef>
              <c:f>Typical_costs!$H$14:$H$20</c:f>
              <c:numCache>
                <c:formatCode>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2-E420-43E9-9E39-761074643E58}"/>
            </c:ext>
          </c:extLst>
        </c:ser>
        <c:dLbls>
          <c:showLegendKey val="0"/>
          <c:showVal val="0"/>
          <c:showCatName val="0"/>
          <c:showSerName val="0"/>
          <c:showPercent val="0"/>
          <c:showBubbleSize val="0"/>
        </c:dLbls>
        <c:marker val="1"/>
        <c:smooth val="0"/>
        <c:axId val="1489102752"/>
        <c:axId val="1489099424"/>
      </c:lineChart>
      <c:catAx>
        <c:axId val="148910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9099424"/>
        <c:crosses val="autoZero"/>
        <c:auto val="1"/>
        <c:lblAlgn val="ctr"/>
        <c:lblOffset val="100"/>
        <c:noMultiLvlLbl val="0"/>
      </c:catAx>
      <c:valAx>
        <c:axId val="1489099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9102752"/>
        <c:crosses val="autoZero"/>
        <c:crossBetween val="midCat"/>
      </c:valAx>
      <c:spPr>
        <a:noFill/>
        <a:ln>
          <a:noFill/>
        </a:ln>
        <a:effectLst/>
      </c:spPr>
    </c:plotArea>
    <c:legend>
      <c:legendPos val="r"/>
      <c:legendEntry>
        <c:idx val="0"/>
        <c:delete val="1"/>
      </c:legendEntry>
      <c:legendEntry>
        <c:idx val="1"/>
        <c:delete val="1"/>
      </c:legendEntry>
      <c:layout>
        <c:manualLayout>
          <c:xMode val="edge"/>
          <c:yMode val="edge"/>
          <c:x val="0.67524256163131857"/>
          <c:y val="6.5920747417508765E-2"/>
          <c:w val="0.22837886480848887"/>
          <c:h val="0.101186347770292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Typical_costs!$C$13</c:f>
          <c:strCache>
            <c:ptCount val="1"/>
            <c:pt idx="0">
              <c:v>Barrido/Limpieza urbana [$$$/ton]</c:v>
            </c:pt>
          </c:strCache>
        </c:strRef>
      </c:tx>
      <c:layout>
        <c:manualLayout>
          <c:xMode val="edge"/>
          <c:yMode val="edge"/>
          <c:x val="9.1511035131312993E-2"/>
          <c:y val="5.3965674431648909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8.6191446529786803E-2"/>
          <c:y val="0.22239854051887312"/>
          <c:w val="0.85222307568456168"/>
          <c:h val="0.4408953108408683"/>
        </c:manualLayout>
      </c:layout>
      <c:barChart>
        <c:barDir val="col"/>
        <c:grouping val="stacked"/>
        <c:varyColors val="0"/>
        <c:ser>
          <c:idx val="0"/>
          <c:order val="0"/>
          <c:spPr>
            <a:solidFill>
              <a:schemeClr val="accent1"/>
            </a:solidFill>
            <a:ln>
              <a:noFill/>
            </a:ln>
            <a:effectLst/>
          </c:spPr>
          <c:invertIfNegative val="0"/>
          <c:cat>
            <c:strRef>
              <c:f>Typical_costs!$B$14:$B$20</c:f>
              <c:strCache>
                <c:ptCount val="6"/>
                <c:pt idx="1">
                  <c:v>País de ingreso bajo</c:v>
                </c:pt>
                <c:pt idx="2">
                  <c:v>País de ingreso mediano bajo</c:v>
                </c:pt>
                <c:pt idx="3">
                  <c:v>País de ingreso mediano alto</c:v>
                </c:pt>
                <c:pt idx="4">
                  <c:v>País de ingreso alto</c:v>
                </c:pt>
                <c:pt idx="5">
                  <c:v>Costos típicos del país</c:v>
                </c:pt>
              </c:strCache>
            </c:strRef>
          </c:cat>
          <c:val>
            <c:numRef>
              <c:f>Typical_costs!$C$14:$C$20</c:f>
              <c:numCache>
                <c:formatCode>General</c:formatCode>
                <c:ptCount val="7"/>
                <c:pt idx="1">
                  <c:v>0</c:v>
                </c:pt>
                <c:pt idx="2">
                  <c:v>0</c:v>
                </c:pt>
                <c:pt idx="3">
                  <c:v>0</c:v>
                </c:pt>
                <c:pt idx="4">
                  <c:v>0</c:v>
                </c:pt>
                <c:pt idx="5">
                  <c:v>0</c:v>
                </c:pt>
              </c:numCache>
            </c:numRef>
          </c:val>
          <c:extLst>
            <c:ext xmlns:c16="http://schemas.microsoft.com/office/drawing/2014/chart" uri="{C3380CC4-5D6E-409C-BE32-E72D297353CC}">
              <c16:uniqueId val="{00000000-057B-4E0D-9F47-588283C80272}"/>
            </c:ext>
          </c:extLst>
        </c:ser>
        <c:ser>
          <c:idx val="1"/>
          <c:order val="1"/>
          <c:spPr>
            <a:solidFill>
              <a:schemeClr val="accent2"/>
            </a:solidFill>
            <a:ln>
              <a:noFill/>
            </a:ln>
            <a:effectLst/>
          </c:spPr>
          <c:invertIfNegative val="0"/>
          <c:cat>
            <c:strRef>
              <c:f>Typical_costs!$B$14:$B$20</c:f>
              <c:strCache>
                <c:ptCount val="6"/>
                <c:pt idx="1">
                  <c:v>País de ingreso bajo</c:v>
                </c:pt>
                <c:pt idx="2">
                  <c:v>País de ingreso mediano bajo</c:v>
                </c:pt>
                <c:pt idx="3">
                  <c:v>País de ingreso mediano alto</c:v>
                </c:pt>
                <c:pt idx="4">
                  <c:v>País de ingreso alto</c:v>
                </c:pt>
                <c:pt idx="5">
                  <c:v>Costos típicos del país</c:v>
                </c:pt>
              </c:strCache>
            </c:strRef>
          </c:cat>
          <c:val>
            <c:numRef>
              <c:f>Typical_costs!$D$14:$D$20</c:f>
              <c:numCache>
                <c:formatCode>General</c:formatCode>
                <c:ptCount val="7"/>
                <c:pt idx="1">
                  <c:v>0</c:v>
                </c:pt>
                <c:pt idx="2">
                  <c:v>0</c:v>
                </c:pt>
                <c:pt idx="3">
                  <c:v>0</c:v>
                </c:pt>
                <c:pt idx="4">
                  <c:v>0</c:v>
                </c:pt>
                <c:pt idx="5">
                  <c:v>0</c:v>
                </c:pt>
              </c:numCache>
            </c:numRef>
          </c:val>
          <c:extLst>
            <c:ext xmlns:c16="http://schemas.microsoft.com/office/drawing/2014/chart" uri="{C3380CC4-5D6E-409C-BE32-E72D297353CC}">
              <c16:uniqueId val="{00000001-057B-4E0D-9F47-588283C80272}"/>
            </c:ext>
          </c:extLst>
        </c:ser>
        <c:dLbls>
          <c:showLegendKey val="0"/>
          <c:showVal val="0"/>
          <c:showCatName val="0"/>
          <c:showSerName val="0"/>
          <c:showPercent val="0"/>
          <c:showBubbleSize val="0"/>
        </c:dLbls>
        <c:gapWidth val="150"/>
        <c:overlap val="100"/>
        <c:axId val="1489102752"/>
        <c:axId val="1489099424"/>
      </c:barChart>
      <c:lineChart>
        <c:grouping val="standard"/>
        <c:varyColors val="0"/>
        <c:ser>
          <c:idx val="2"/>
          <c:order val="2"/>
          <c:tx>
            <c:strRef>
              <c:f>Typical_costs!$B$21</c:f>
              <c:strCache>
                <c:ptCount val="1"/>
                <c:pt idx="0">
                  <c:v>Caso real actual</c:v>
                </c:pt>
              </c:strCache>
            </c:strRef>
          </c:tx>
          <c:spPr>
            <a:ln w="28575" cap="rnd">
              <a:solidFill>
                <a:srgbClr val="002060"/>
              </a:solidFill>
              <a:round/>
            </a:ln>
            <a:effectLst/>
          </c:spPr>
          <c:marker>
            <c:symbol val="none"/>
          </c:marker>
          <c:cat>
            <c:strRef>
              <c:f>Typical_costs!$B$14:$B$20</c:f>
              <c:strCache>
                <c:ptCount val="6"/>
                <c:pt idx="1">
                  <c:v>País de ingreso bajo</c:v>
                </c:pt>
                <c:pt idx="2">
                  <c:v>País de ingreso mediano bajo</c:v>
                </c:pt>
                <c:pt idx="3">
                  <c:v>País de ingreso mediano alto</c:v>
                </c:pt>
                <c:pt idx="4">
                  <c:v>País de ingreso alto</c:v>
                </c:pt>
                <c:pt idx="5">
                  <c:v>Costos típicos del país</c:v>
                </c:pt>
              </c:strCache>
            </c:strRef>
          </c:cat>
          <c:val>
            <c:numRef>
              <c:f>Typical_costs!$E$14:$E$20</c:f>
              <c:numCache>
                <c:formatCode>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2-057B-4E0D-9F47-588283C80272}"/>
            </c:ext>
          </c:extLst>
        </c:ser>
        <c:dLbls>
          <c:showLegendKey val="0"/>
          <c:showVal val="0"/>
          <c:showCatName val="0"/>
          <c:showSerName val="0"/>
          <c:showPercent val="0"/>
          <c:showBubbleSize val="0"/>
        </c:dLbls>
        <c:marker val="1"/>
        <c:smooth val="0"/>
        <c:axId val="1489102752"/>
        <c:axId val="1489099424"/>
      </c:lineChart>
      <c:catAx>
        <c:axId val="148910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9099424"/>
        <c:crosses val="autoZero"/>
        <c:auto val="1"/>
        <c:lblAlgn val="ctr"/>
        <c:lblOffset val="100"/>
        <c:noMultiLvlLbl val="0"/>
      </c:catAx>
      <c:valAx>
        <c:axId val="1489099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9102752"/>
        <c:crosses val="autoZero"/>
        <c:crossBetween val="midCat"/>
      </c:valAx>
      <c:spPr>
        <a:noFill/>
        <a:ln>
          <a:noFill/>
        </a:ln>
        <a:effectLst/>
      </c:spPr>
    </c:plotArea>
    <c:legend>
      <c:legendPos val="r"/>
      <c:legendEntry>
        <c:idx val="0"/>
        <c:delete val="1"/>
      </c:legendEntry>
      <c:legendEntry>
        <c:idx val="1"/>
        <c:delete val="1"/>
      </c:legendEntry>
      <c:layout>
        <c:manualLayout>
          <c:xMode val="edge"/>
          <c:yMode val="edge"/>
          <c:x val="0.67524256163131857"/>
          <c:y val="6.5920747417508765E-2"/>
          <c:w val="0.22837886480848887"/>
          <c:h val="0.101186347770292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stacked"/>
        <c:varyColors val="0"/>
        <c:ser>
          <c:idx val="0"/>
          <c:order val="0"/>
          <c:tx>
            <c:strRef>
              <c:f>Graphgen!$J$40</c:f>
              <c:strCache>
                <c:ptCount val="1"/>
                <c:pt idx="0">
                  <c:v>Costos de recolección primaria</c:v>
                </c:pt>
              </c:strCache>
            </c:strRef>
          </c:tx>
          <c:spPr>
            <a:solidFill>
              <a:schemeClr val="accent2">
                <a:tint val="50000"/>
              </a:schemeClr>
            </a:solidFill>
            <a:ln>
              <a:noFill/>
            </a:ln>
            <a:effectLst/>
          </c:spPr>
          <c:invertIfNegative val="0"/>
          <c:cat>
            <c:multiLvlStrRef>
              <c:f>Graphgen!$K$20:$S$21</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Graphgen!$K$40:$S$40</c:f>
              <c:numCache>
                <c:formatCode>#,##0</c:formatCode>
                <c:ptCount val="9"/>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9A9A-4E3D-976B-DE05B0B9304B}"/>
            </c:ext>
          </c:extLst>
        </c:ser>
        <c:ser>
          <c:idx val="1"/>
          <c:order val="1"/>
          <c:tx>
            <c:strRef>
              <c:f>Graphgen!$J$41</c:f>
              <c:strCache>
                <c:ptCount val="1"/>
                <c:pt idx="0">
                  <c:v>Costos de recolección</c:v>
                </c:pt>
              </c:strCache>
            </c:strRef>
          </c:tx>
          <c:spPr>
            <a:solidFill>
              <a:schemeClr val="accent2">
                <a:tint val="70000"/>
              </a:schemeClr>
            </a:solidFill>
            <a:ln>
              <a:noFill/>
            </a:ln>
            <a:effectLst/>
          </c:spPr>
          <c:invertIfNegative val="0"/>
          <c:cat>
            <c:multiLvlStrRef>
              <c:f>Graphgen!$K$20:$S$21</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Graphgen!$K$41:$S$41</c:f>
              <c:numCache>
                <c:formatCode>#,##0</c:formatCode>
                <c:ptCount val="9"/>
                <c:pt idx="0" formatCode="_-* #,##0_-;\-* #,##0_-;_-* &quot;-&quot;_-;_-@_-">
                  <c:v>5000000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9A9A-4E3D-976B-DE05B0B9304B}"/>
            </c:ext>
          </c:extLst>
        </c:ser>
        <c:ser>
          <c:idx val="2"/>
          <c:order val="2"/>
          <c:tx>
            <c:strRef>
              <c:f>Graphgen!$J$42</c:f>
              <c:strCache>
                <c:ptCount val="1"/>
                <c:pt idx="0">
                  <c:v>Costos de transporte</c:v>
                </c:pt>
              </c:strCache>
            </c:strRef>
          </c:tx>
          <c:spPr>
            <a:solidFill>
              <a:schemeClr val="accent2">
                <a:tint val="90000"/>
              </a:schemeClr>
            </a:solidFill>
            <a:ln>
              <a:noFill/>
            </a:ln>
            <a:effectLst/>
          </c:spPr>
          <c:invertIfNegative val="0"/>
          <c:cat>
            <c:multiLvlStrRef>
              <c:f>Graphgen!$K$20:$S$21</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Graphgen!$K$42:$S$42</c:f>
              <c:numCache>
                <c:formatCode>#,##0</c:formatCode>
                <c:ptCount val="9"/>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9A9A-4E3D-976B-DE05B0B9304B}"/>
            </c:ext>
          </c:extLst>
        </c:ser>
        <c:ser>
          <c:idx val="3"/>
          <c:order val="3"/>
          <c:tx>
            <c:strRef>
              <c:f>Graphgen!$J$43</c:f>
              <c:strCache>
                <c:ptCount val="1"/>
                <c:pt idx="0">
                  <c:v>Costos estación de transferencia</c:v>
                </c:pt>
              </c:strCache>
            </c:strRef>
          </c:tx>
          <c:spPr>
            <a:solidFill>
              <a:schemeClr val="accent2">
                <a:shade val="90000"/>
              </a:schemeClr>
            </a:solidFill>
            <a:ln>
              <a:noFill/>
            </a:ln>
            <a:effectLst/>
          </c:spPr>
          <c:invertIfNegative val="0"/>
          <c:cat>
            <c:multiLvlStrRef>
              <c:f>Graphgen!$K$20:$S$21</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Graphgen!$K$43:$S$43</c:f>
              <c:numCache>
                <c:formatCode>#,##0</c:formatCode>
                <c:ptCount val="9"/>
                <c:pt idx="1">
                  <c:v>0</c:v>
                </c:pt>
                <c:pt idx="2">
                  <c:v>8024.2587190691311</c:v>
                </c:pt>
                <c:pt idx="3">
                  <c:v>0</c:v>
                </c:pt>
                <c:pt idx="4">
                  <c:v>8024.2587190691311</c:v>
                </c:pt>
                <c:pt idx="5">
                  <c:v>0</c:v>
                </c:pt>
                <c:pt idx="6">
                  <c:v>8024.2587190691311</c:v>
                </c:pt>
                <c:pt idx="7">
                  <c:v>0</c:v>
                </c:pt>
                <c:pt idx="8">
                  <c:v>8024.2587190691311</c:v>
                </c:pt>
              </c:numCache>
            </c:numRef>
          </c:val>
          <c:extLst>
            <c:ext xmlns:c16="http://schemas.microsoft.com/office/drawing/2014/chart" uri="{C3380CC4-5D6E-409C-BE32-E72D297353CC}">
              <c16:uniqueId val="{00000003-9A9A-4E3D-976B-DE05B0B9304B}"/>
            </c:ext>
          </c:extLst>
        </c:ser>
        <c:ser>
          <c:idx val="4"/>
          <c:order val="4"/>
          <c:tx>
            <c:strRef>
              <c:f>Graphgen!$J$44</c:f>
              <c:strCache>
                <c:ptCount val="1"/>
                <c:pt idx="0">
                  <c:v>Costos de contenedores</c:v>
                </c:pt>
              </c:strCache>
            </c:strRef>
          </c:tx>
          <c:spPr>
            <a:solidFill>
              <a:schemeClr val="accent2">
                <a:shade val="70000"/>
              </a:schemeClr>
            </a:solidFill>
            <a:ln>
              <a:noFill/>
            </a:ln>
            <a:effectLst/>
          </c:spPr>
          <c:invertIfNegative val="0"/>
          <c:cat>
            <c:multiLvlStrRef>
              <c:f>Graphgen!$K$20:$S$21</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Graphgen!$K$44:$S$44</c:f>
              <c:numCache>
                <c:formatCode>General</c:formatCode>
                <c:ptCount val="9"/>
                <c:pt idx="1">
                  <c:v>0</c:v>
                </c:pt>
                <c:pt idx="2">
                  <c:v>0</c:v>
                </c:pt>
                <c:pt idx="3">
                  <c:v>0</c:v>
                </c:pt>
                <c:pt idx="4">
                  <c:v>0</c:v>
                </c:pt>
                <c:pt idx="5" formatCode="0">
                  <c:v>0</c:v>
                </c:pt>
                <c:pt idx="6" formatCode="0">
                  <c:v>0</c:v>
                </c:pt>
                <c:pt idx="7" formatCode="0">
                  <c:v>0</c:v>
                </c:pt>
                <c:pt idx="8" formatCode="0">
                  <c:v>0</c:v>
                </c:pt>
              </c:numCache>
            </c:numRef>
          </c:val>
          <c:extLst>
            <c:ext xmlns:c16="http://schemas.microsoft.com/office/drawing/2014/chart" uri="{C3380CC4-5D6E-409C-BE32-E72D297353CC}">
              <c16:uniqueId val="{00000004-9A9A-4E3D-976B-DE05B0B9304B}"/>
            </c:ext>
          </c:extLst>
        </c:ser>
        <c:dLbls>
          <c:showLegendKey val="0"/>
          <c:showVal val="0"/>
          <c:showCatName val="0"/>
          <c:showSerName val="0"/>
          <c:showPercent val="0"/>
          <c:showBubbleSize val="0"/>
        </c:dLbls>
        <c:gapWidth val="150"/>
        <c:overlap val="100"/>
        <c:axId val="703191640"/>
        <c:axId val="703192296"/>
      </c:barChart>
      <c:barChart>
        <c:barDir val="col"/>
        <c:grouping val="stacked"/>
        <c:varyColors val="0"/>
        <c:ser>
          <c:idx val="5"/>
          <c:order val="5"/>
          <c:tx>
            <c:strRef>
              <c:f>Graphgen!$J$45</c:f>
              <c:strCache>
                <c:ptCount val="1"/>
                <c:pt idx="0">
                  <c:v>Costo de recolección y transferencia por tonelada [$$$/ton]</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Graphgen!$K$20:$S$21</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Graphgen!$K$45:$S$45</c:f>
              <c:numCache>
                <c:formatCode>#,##0\ "$/ton"</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6-9A9A-4E3D-976B-DE05B0B9304B}"/>
            </c:ext>
          </c:extLst>
        </c:ser>
        <c:dLbls>
          <c:showLegendKey val="0"/>
          <c:showVal val="0"/>
          <c:showCatName val="0"/>
          <c:showSerName val="0"/>
          <c:showPercent val="0"/>
          <c:showBubbleSize val="0"/>
        </c:dLbls>
        <c:gapWidth val="500"/>
        <c:overlap val="100"/>
        <c:axId val="844440312"/>
        <c:axId val="844445560"/>
      </c:barChart>
      <c:catAx>
        <c:axId val="703191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703192296"/>
        <c:crosses val="autoZero"/>
        <c:auto val="1"/>
        <c:lblAlgn val="ctr"/>
        <c:lblOffset val="100"/>
        <c:noMultiLvlLbl val="0"/>
      </c:catAx>
      <c:valAx>
        <c:axId val="703192296"/>
        <c:scaling>
          <c:orientation val="minMax"/>
        </c:scaling>
        <c:delete val="0"/>
        <c:axPos val="l"/>
        <c:majorGridlines>
          <c:spPr>
            <a:ln w="9525" cap="flat" cmpd="sng" algn="ctr">
              <a:solidFill>
                <a:schemeClr val="tx1">
                  <a:lumMod val="15000"/>
                  <a:lumOff val="85000"/>
                </a:schemeClr>
              </a:solidFill>
              <a:round/>
            </a:ln>
            <a:effectLst/>
          </c:spPr>
        </c:majorGridlines>
        <c:title>
          <c:tx>
            <c:strRef>
              <c:f>Language!$A$841</c:f>
              <c:strCache>
                <c:ptCount val="1"/>
                <c:pt idx="0">
                  <c:v>Costo anual [$$$/año]</c:v>
                </c:pt>
              </c:strCache>
            </c:strRef>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703191640"/>
        <c:crosses val="autoZero"/>
        <c:crossBetween val="between"/>
      </c:valAx>
      <c:valAx>
        <c:axId val="844445560"/>
        <c:scaling>
          <c:orientation val="minMax"/>
        </c:scaling>
        <c:delete val="0"/>
        <c:axPos val="r"/>
        <c:numFmt formatCode="#,##0\ &quot;$/ton&quot;"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de-DE"/>
          </a:p>
        </c:txPr>
        <c:crossAx val="844440312"/>
        <c:crosses val="max"/>
        <c:crossBetween val="between"/>
      </c:valAx>
      <c:catAx>
        <c:axId val="844440312"/>
        <c:scaling>
          <c:orientation val="minMax"/>
        </c:scaling>
        <c:delete val="1"/>
        <c:axPos val="b"/>
        <c:numFmt formatCode="General" sourceLinked="1"/>
        <c:majorTickMark val="out"/>
        <c:minorTickMark val="none"/>
        <c:tickLblPos val="nextTo"/>
        <c:crossAx val="844445560"/>
        <c:crosses val="autoZero"/>
        <c:auto val="1"/>
        <c:lblAlgn val="ctr"/>
        <c:lblOffset val="100"/>
        <c:noMultiLvlLbl val="0"/>
      </c:catAx>
      <c:spPr>
        <a:noFill/>
        <a:ln>
          <a:noFill/>
        </a:ln>
        <a:effectLst/>
      </c:spPr>
    </c:plotArea>
    <c:legend>
      <c:legendPos val="t"/>
      <c:legendEntry>
        <c:idx val="5"/>
        <c:delete val="1"/>
      </c:legendEntry>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de-DE"/>
        </a:p>
      </c:txPr>
    </c:legend>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208186742614617E-2"/>
          <c:y val="0.14912285361920122"/>
          <c:w val="0.88992701178310163"/>
          <c:h val="0.72952256269171167"/>
        </c:manualLayout>
      </c:layout>
      <c:barChart>
        <c:barDir val="col"/>
        <c:grouping val="stacked"/>
        <c:varyColors val="0"/>
        <c:ser>
          <c:idx val="0"/>
          <c:order val="0"/>
          <c:tx>
            <c:strRef>
              <c:f>Graphgen!$J$22</c:f>
              <c:strCache>
                <c:ptCount val="1"/>
                <c:pt idx="0">
                  <c:v>Servicio de barrido/limpieza urbana</c:v>
                </c:pt>
              </c:strCache>
            </c:strRef>
          </c:tx>
          <c:spPr>
            <a:solidFill>
              <a:schemeClr val="accent1"/>
            </a:solidFill>
            <a:ln>
              <a:noFill/>
            </a:ln>
            <a:effectLst/>
          </c:spPr>
          <c:invertIfNegative val="0"/>
          <c:cat>
            <c:multiLvlStrRef>
              <c:f>Graphgen!$L$20:$S$21</c:f>
              <c:multiLvlStrCache>
                <c:ptCount val="8"/>
                <c:lvl>
                  <c:pt idx="0">
                    <c:v>Sin estación de transferencia</c:v>
                  </c:pt>
                  <c:pt idx="1">
                    <c:v>Con estación de transferencia</c:v>
                  </c:pt>
                  <c:pt idx="2">
                    <c:v>Sin estación de transferencia</c:v>
                  </c:pt>
                  <c:pt idx="3">
                    <c:v>Con estación de transferencia</c:v>
                  </c:pt>
                  <c:pt idx="4">
                    <c:v>Sin estación de transferencia</c:v>
                  </c:pt>
                  <c:pt idx="5">
                    <c:v>Con estación de transferencia</c:v>
                  </c:pt>
                  <c:pt idx="6">
                    <c:v>Sin estación de transferencia</c:v>
                  </c:pt>
                  <c:pt idx="7">
                    <c:v>Con estación de transferencia</c:v>
                  </c:pt>
                </c:lvl>
                <c:lvl>
                  <c:pt idx="0">
                    <c:v>Recolección por acera</c:v>
                  </c:pt>
                  <c:pt idx="2">
                    <c:v>Recolección por esquina</c:v>
                  </c:pt>
                  <c:pt idx="4">
                    <c:v>Recolección con contenedores</c:v>
                  </c:pt>
                  <c:pt idx="6">
                    <c:v>Recolección diferenciada con contenedores</c:v>
                  </c:pt>
                </c:lvl>
              </c:multiLvlStrCache>
            </c:multiLvlStrRef>
          </c:cat>
          <c:val>
            <c:numRef>
              <c:f>Graphgen!$L$22:$S$22</c:f>
              <c:numCache>
                <c:formatCode>_-* #,##0_-;\-* #,##0_-;_-*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9272-44FA-A5D8-A046BAD6E13B}"/>
            </c:ext>
          </c:extLst>
        </c:ser>
        <c:ser>
          <c:idx val="1"/>
          <c:order val="1"/>
          <c:tx>
            <c:strRef>
              <c:f>Graphgen!$J$23</c:f>
              <c:strCache>
                <c:ptCount val="1"/>
                <c:pt idx="0">
                  <c:v>Servicio de recolección y transporte</c:v>
                </c:pt>
              </c:strCache>
            </c:strRef>
          </c:tx>
          <c:spPr>
            <a:solidFill>
              <a:schemeClr val="accent2"/>
            </a:solidFill>
            <a:ln>
              <a:noFill/>
            </a:ln>
            <a:effectLst/>
          </c:spPr>
          <c:invertIfNegative val="0"/>
          <c:cat>
            <c:multiLvlStrRef>
              <c:f>Graphgen!$L$20:$S$21</c:f>
              <c:multiLvlStrCache>
                <c:ptCount val="8"/>
                <c:lvl>
                  <c:pt idx="0">
                    <c:v>Sin estación de transferencia</c:v>
                  </c:pt>
                  <c:pt idx="1">
                    <c:v>Con estación de transferencia</c:v>
                  </c:pt>
                  <c:pt idx="2">
                    <c:v>Sin estación de transferencia</c:v>
                  </c:pt>
                  <c:pt idx="3">
                    <c:v>Con estación de transferencia</c:v>
                  </c:pt>
                  <c:pt idx="4">
                    <c:v>Sin estación de transferencia</c:v>
                  </c:pt>
                  <c:pt idx="5">
                    <c:v>Con estación de transferencia</c:v>
                  </c:pt>
                  <c:pt idx="6">
                    <c:v>Sin estación de transferencia</c:v>
                  </c:pt>
                  <c:pt idx="7">
                    <c:v>Con estación de transferencia</c:v>
                  </c:pt>
                </c:lvl>
                <c:lvl>
                  <c:pt idx="0">
                    <c:v>Recolección por acera</c:v>
                  </c:pt>
                  <c:pt idx="2">
                    <c:v>Recolección por esquina</c:v>
                  </c:pt>
                  <c:pt idx="4">
                    <c:v>Recolección con contenedores</c:v>
                  </c:pt>
                  <c:pt idx="6">
                    <c:v>Recolección diferenciada con contenedores</c:v>
                  </c:pt>
                </c:lvl>
              </c:multiLvlStrCache>
            </c:multiLvlStrRef>
          </c:cat>
          <c:val>
            <c:numRef>
              <c:f>Graphgen!$L$23:$S$23</c:f>
              <c:numCache>
                <c:formatCode>_-* #,##0_-;\-* #,##0_-;_-*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9272-44FA-A5D8-A046BAD6E13B}"/>
            </c:ext>
          </c:extLst>
        </c:ser>
        <c:ser>
          <c:idx val="2"/>
          <c:order val="2"/>
          <c:tx>
            <c:strRef>
              <c:f>Graphgen!$J$24</c:f>
              <c:strCache>
                <c:ptCount val="1"/>
                <c:pt idx="0">
                  <c:v>Planta de reciclaje </c:v>
                </c:pt>
              </c:strCache>
            </c:strRef>
          </c:tx>
          <c:spPr>
            <a:solidFill>
              <a:schemeClr val="accent3"/>
            </a:solidFill>
            <a:ln>
              <a:noFill/>
            </a:ln>
            <a:effectLst/>
          </c:spPr>
          <c:invertIfNegative val="0"/>
          <c:cat>
            <c:multiLvlStrRef>
              <c:f>Graphgen!$L$20:$S$21</c:f>
              <c:multiLvlStrCache>
                <c:ptCount val="8"/>
                <c:lvl>
                  <c:pt idx="0">
                    <c:v>Sin estación de transferencia</c:v>
                  </c:pt>
                  <c:pt idx="1">
                    <c:v>Con estación de transferencia</c:v>
                  </c:pt>
                  <c:pt idx="2">
                    <c:v>Sin estación de transferencia</c:v>
                  </c:pt>
                  <c:pt idx="3">
                    <c:v>Con estación de transferencia</c:v>
                  </c:pt>
                  <c:pt idx="4">
                    <c:v>Sin estación de transferencia</c:v>
                  </c:pt>
                  <c:pt idx="5">
                    <c:v>Con estación de transferencia</c:v>
                  </c:pt>
                  <c:pt idx="6">
                    <c:v>Sin estación de transferencia</c:v>
                  </c:pt>
                  <c:pt idx="7">
                    <c:v>Con estación de transferencia</c:v>
                  </c:pt>
                </c:lvl>
                <c:lvl>
                  <c:pt idx="0">
                    <c:v>Recolección por acera</c:v>
                  </c:pt>
                  <c:pt idx="2">
                    <c:v>Recolección por esquina</c:v>
                  </c:pt>
                  <c:pt idx="4">
                    <c:v>Recolección con contenedores</c:v>
                  </c:pt>
                  <c:pt idx="6">
                    <c:v>Recolección diferenciada con contenedores</c:v>
                  </c:pt>
                </c:lvl>
              </c:multiLvlStrCache>
            </c:multiLvlStrRef>
          </c:cat>
          <c:val>
            <c:numRef>
              <c:f>Graphgen!$L$24:$S$24</c:f>
              <c:numCache>
                <c:formatCode>_-* #,##0_-;\-* #,##0_-;_-*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9272-44FA-A5D8-A046BAD6E13B}"/>
            </c:ext>
          </c:extLst>
        </c:ser>
        <c:ser>
          <c:idx val="3"/>
          <c:order val="3"/>
          <c:tx>
            <c:strRef>
              <c:f>Graphgen!$J$25</c:f>
              <c:strCache>
                <c:ptCount val="1"/>
                <c:pt idx="0">
                  <c:v>Planta de compostaje</c:v>
                </c:pt>
              </c:strCache>
            </c:strRef>
          </c:tx>
          <c:spPr>
            <a:solidFill>
              <a:srgbClr val="7030A0"/>
            </a:solidFill>
            <a:ln>
              <a:noFill/>
            </a:ln>
            <a:effectLst/>
          </c:spPr>
          <c:invertIfNegative val="0"/>
          <c:cat>
            <c:multiLvlStrRef>
              <c:f>Graphgen!$L$20:$S$21</c:f>
              <c:multiLvlStrCache>
                <c:ptCount val="8"/>
                <c:lvl>
                  <c:pt idx="0">
                    <c:v>Sin estación de transferencia</c:v>
                  </c:pt>
                  <c:pt idx="1">
                    <c:v>Con estación de transferencia</c:v>
                  </c:pt>
                  <c:pt idx="2">
                    <c:v>Sin estación de transferencia</c:v>
                  </c:pt>
                  <c:pt idx="3">
                    <c:v>Con estación de transferencia</c:v>
                  </c:pt>
                  <c:pt idx="4">
                    <c:v>Sin estación de transferencia</c:v>
                  </c:pt>
                  <c:pt idx="5">
                    <c:v>Con estación de transferencia</c:v>
                  </c:pt>
                  <c:pt idx="6">
                    <c:v>Sin estación de transferencia</c:v>
                  </c:pt>
                  <c:pt idx="7">
                    <c:v>Con estación de transferencia</c:v>
                  </c:pt>
                </c:lvl>
                <c:lvl>
                  <c:pt idx="0">
                    <c:v>Recolección por acera</c:v>
                  </c:pt>
                  <c:pt idx="2">
                    <c:v>Recolección por esquina</c:v>
                  </c:pt>
                  <c:pt idx="4">
                    <c:v>Recolección con contenedores</c:v>
                  </c:pt>
                  <c:pt idx="6">
                    <c:v>Recolección diferenciada con contenedores</c:v>
                  </c:pt>
                </c:lvl>
              </c:multiLvlStrCache>
            </c:multiLvlStrRef>
          </c:cat>
          <c:val>
            <c:numRef>
              <c:f>Graphgen!$L$25:$S$25</c:f>
              <c:numCache>
                <c:formatCode>_-* #,##0_-;\-* #,##0_-;_-*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9272-44FA-A5D8-A046BAD6E13B}"/>
            </c:ext>
          </c:extLst>
        </c:ser>
        <c:ser>
          <c:idx val="4"/>
          <c:order val="4"/>
          <c:tx>
            <c:strRef>
              <c:f>Graphgen!$J$26</c:f>
              <c:strCache>
                <c:ptCount val="1"/>
                <c:pt idx="0">
                  <c:v>Estación de transferencia</c:v>
                </c:pt>
              </c:strCache>
            </c:strRef>
          </c:tx>
          <c:spPr>
            <a:solidFill>
              <a:schemeClr val="accent5"/>
            </a:solidFill>
            <a:ln>
              <a:noFill/>
            </a:ln>
            <a:effectLst/>
          </c:spPr>
          <c:invertIfNegative val="0"/>
          <c:cat>
            <c:multiLvlStrRef>
              <c:f>Graphgen!$L$20:$S$21</c:f>
              <c:multiLvlStrCache>
                <c:ptCount val="8"/>
                <c:lvl>
                  <c:pt idx="0">
                    <c:v>Sin estación de transferencia</c:v>
                  </c:pt>
                  <c:pt idx="1">
                    <c:v>Con estación de transferencia</c:v>
                  </c:pt>
                  <c:pt idx="2">
                    <c:v>Sin estación de transferencia</c:v>
                  </c:pt>
                  <c:pt idx="3">
                    <c:v>Con estación de transferencia</c:v>
                  </c:pt>
                  <c:pt idx="4">
                    <c:v>Sin estación de transferencia</c:v>
                  </c:pt>
                  <c:pt idx="5">
                    <c:v>Con estación de transferencia</c:v>
                  </c:pt>
                  <c:pt idx="6">
                    <c:v>Sin estación de transferencia</c:v>
                  </c:pt>
                  <c:pt idx="7">
                    <c:v>Con estación de transferencia</c:v>
                  </c:pt>
                </c:lvl>
                <c:lvl>
                  <c:pt idx="0">
                    <c:v>Recolección por acera</c:v>
                  </c:pt>
                  <c:pt idx="2">
                    <c:v>Recolección por esquina</c:v>
                  </c:pt>
                  <c:pt idx="4">
                    <c:v>Recolección con contenedores</c:v>
                  </c:pt>
                  <c:pt idx="6">
                    <c:v>Recolección diferenciada con contenedores</c:v>
                  </c:pt>
                </c:lvl>
              </c:multiLvlStrCache>
            </c:multiLvlStrRef>
          </c:cat>
          <c:val>
            <c:numRef>
              <c:f>Graphgen!$L$26:$S$26</c:f>
              <c:numCache>
                <c:formatCode>_-* #,##0_-;\-* #,##0_-;_-* "-"_-;_-@_-</c:formatCode>
                <c:ptCount val="8"/>
                <c:pt idx="0">
                  <c:v>0</c:v>
                </c:pt>
                <c:pt idx="1">
                  <c:v>8024.2587190691311</c:v>
                </c:pt>
                <c:pt idx="2">
                  <c:v>0</c:v>
                </c:pt>
                <c:pt idx="3">
                  <c:v>8024.2587190691311</c:v>
                </c:pt>
                <c:pt idx="4">
                  <c:v>0</c:v>
                </c:pt>
                <c:pt idx="5">
                  <c:v>8024.2587190691311</c:v>
                </c:pt>
                <c:pt idx="6">
                  <c:v>0</c:v>
                </c:pt>
                <c:pt idx="7">
                  <c:v>8024.2587190691311</c:v>
                </c:pt>
              </c:numCache>
            </c:numRef>
          </c:val>
          <c:extLst>
            <c:ext xmlns:c16="http://schemas.microsoft.com/office/drawing/2014/chart" uri="{C3380CC4-5D6E-409C-BE32-E72D297353CC}">
              <c16:uniqueId val="{00000004-9272-44FA-A5D8-A046BAD6E13B}"/>
            </c:ext>
          </c:extLst>
        </c:ser>
        <c:ser>
          <c:idx val="5"/>
          <c:order val="5"/>
          <c:tx>
            <c:strRef>
              <c:f>Graphgen!$J$27</c:f>
              <c:strCache>
                <c:ptCount val="1"/>
                <c:pt idx="0">
                  <c:v>Disposición final</c:v>
                </c:pt>
              </c:strCache>
            </c:strRef>
          </c:tx>
          <c:spPr>
            <a:solidFill>
              <a:schemeClr val="accent6"/>
            </a:solidFill>
            <a:ln>
              <a:noFill/>
            </a:ln>
            <a:effectLst/>
          </c:spPr>
          <c:invertIfNegative val="0"/>
          <c:cat>
            <c:multiLvlStrRef>
              <c:f>Graphgen!$L$20:$S$21</c:f>
              <c:multiLvlStrCache>
                <c:ptCount val="8"/>
                <c:lvl>
                  <c:pt idx="0">
                    <c:v>Sin estación de transferencia</c:v>
                  </c:pt>
                  <c:pt idx="1">
                    <c:v>Con estación de transferencia</c:v>
                  </c:pt>
                  <c:pt idx="2">
                    <c:v>Sin estación de transferencia</c:v>
                  </c:pt>
                  <c:pt idx="3">
                    <c:v>Con estación de transferencia</c:v>
                  </c:pt>
                  <c:pt idx="4">
                    <c:v>Sin estación de transferencia</c:v>
                  </c:pt>
                  <c:pt idx="5">
                    <c:v>Con estación de transferencia</c:v>
                  </c:pt>
                  <c:pt idx="6">
                    <c:v>Sin estación de transferencia</c:v>
                  </c:pt>
                  <c:pt idx="7">
                    <c:v>Con estación de transferencia</c:v>
                  </c:pt>
                </c:lvl>
                <c:lvl>
                  <c:pt idx="0">
                    <c:v>Recolección por acera</c:v>
                  </c:pt>
                  <c:pt idx="2">
                    <c:v>Recolección por esquina</c:v>
                  </c:pt>
                  <c:pt idx="4">
                    <c:v>Recolección con contenedores</c:v>
                  </c:pt>
                  <c:pt idx="6">
                    <c:v>Recolección diferenciada con contenedores</c:v>
                  </c:pt>
                </c:lvl>
              </c:multiLvlStrCache>
            </c:multiLvlStrRef>
          </c:cat>
          <c:val>
            <c:numRef>
              <c:f>Graphgen!$L$27:$S$27</c:f>
              <c:numCache>
                <c:formatCode>_-* #,##0_-;\-* #,##0_-;_-*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9272-44FA-A5D8-A046BAD6E13B}"/>
            </c:ext>
          </c:extLst>
        </c:ser>
        <c:ser>
          <c:idx val="6"/>
          <c:order val="6"/>
          <c:tx>
            <c:strRef>
              <c:f>Graphgen!$J$28</c:f>
              <c:strCache>
                <c:ptCount val="1"/>
                <c:pt idx="0">
                  <c:v>Administración del servicio</c:v>
                </c:pt>
              </c:strCache>
            </c:strRef>
          </c:tx>
          <c:spPr>
            <a:solidFill>
              <a:schemeClr val="accent1">
                <a:lumMod val="60000"/>
              </a:schemeClr>
            </a:solidFill>
            <a:ln>
              <a:noFill/>
            </a:ln>
            <a:effectLst/>
          </c:spPr>
          <c:invertIfNegative val="0"/>
          <c:cat>
            <c:multiLvlStrRef>
              <c:f>Graphgen!$L$20:$S$21</c:f>
              <c:multiLvlStrCache>
                <c:ptCount val="8"/>
                <c:lvl>
                  <c:pt idx="0">
                    <c:v>Sin estación de transferencia</c:v>
                  </c:pt>
                  <c:pt idx="1">
                    <c:v>Con estación de transferencia</c:v>
                  </c:pt>
                  <c:pt idx="2">
                    <c:v>Sin estación de transferencia</c:v>
                  </c:pt>
                  <c:pt idx="3">
                    <c:v>Con estación de transferencia</c:v>
                  </c:pt>
                  <c:pt idx="4">
                    <c:v>Sin estación de transferencia</c:v>
                  </c:pt>
                  <c:pt idx="5">
                    <c:v>Con estación de transferencia</c:v>
                  </c:pt>
                  <c:pt idx="6">
                    <c:v>Sin estación de transferencia</c:v>
                  </c:pt>
                  <c:pt idx="7">
                    <c:v>Con estación de transferencia</c:v>
                  </c:pt>
                </c:lvl>
                <c:lvl>
                  <c:pt idx="0">
                    <c:v>Recolección por acera</c:v>
                  </c:pt>
                  <c:pt idx="2">
                    <c:v>Recolección por esquina</c:v>
                  </c:pt>
                  <c:pt idx="4">
                    <c:v>Recolección con contenedores</c:v>
                  </c:pt>
                  <c:pt idx="6">
                    <c:v>Recolección diferenciada con contenedores</c:v>
                  </c:pt>
                </c:lvl>
              </c:multiLvlStrCache>
            </c:multiLvlStrRef>
          </c:cat>
          <c:val>
            <c:numRef>
              <c:f>Graphgen!$L$28:$S$28</c:f>
              <c:numCache>
                <c:formatCode>_-* #,##0_-;\-* #,##0_-;_-*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6-9272-44FA-A5D8-A046BAD6E13B}"/>
            </c:ext>
          </c:extLst>
        </c:ser>
        <c:ser>
          <c:idx val="7"/>
          <c:order val="7"/>
          <c:tx>
            <c:strRef>
              <c:f>Graphgen!$J$29</c:f>
              <c:strCache>
                <c:ptCount val="1"/>
                <c:pt idx="0">
                  <c:v>Planificación y fiscalización del servicio</c:v>
                </c:pt>
              </c:strCache>
            </c:strRef>
          </c:tx>
          <c:spPr>
            <a:solidFill>
              <a:schemeClr val="accent2">
                <a:lumMod val="60000"/>
              </a:schemeClr>
            </a:solidFill>
            <a:ln>
              <a:noFill/>
            </a:ln>
            <a:effectLst/>
          </c:spPr>
          <c:invertIfNegative val="0"/>
          <c:cat>
            <c:multiLvlStrRef>
              <c:f>Graphgen!$L$20:$S$21</c:f>
              <c:multiLvlStrCache>
                <c:ptCount val="8"/>
                <c:lvl>
                  <c:pt idx="0">
                    <c:v>Sin estación de transferencia</c:v>
                  </c:pt>
                  <c:pt idx="1">
                    <c:v>Con estación de transferencia</c:v>
                  </c:pt>
                  <c:pt idx="2">
                    <c:v>Sin estación de transferencia</c:v>
                  </c:pt>
                  <c:pt idx="3">
                    <c:v>Con estación de transferencia</c:v>
                  </c:pt>
                  <c:pt idx="4">
                    <c:v>Sin estación de transferencia</c:v>
                  </c:pt>
                  <c:pt idx="5">
                    <c:v>Con estación de transferencia</c:v>
                  </c:pt>
                  <c:pt idx="6">
                    <c:v>Sin estación de transferencia</c:v>
                  </c:pt>
                  <c:pt idx="7">
                    <c:v>Con estación de transferencia</c:v>
                  </c:pt>
                </c:lvl>
                <c:lvl>
                  <c:pt idx="0">
                    <c:v>Recolección por acera</c:v>
                  </c:pt>
                  <c:pt idx="2">
                    <c:v>Recolección por esquina</c:v>
                  </c:pt>
                  <c:pt idx="4">
                    <c:v>Recolección con contenedores</c:v>
                  </c:pt>
                  <c:pt idx="6">
                    <c:v>Recolección diferenciada con contenedores</c:v>
                  </c:pt>
                </c:lvl>
              </c:multiLvlStrCache>
            </c:multiLvlStrRef>
          </c:cat>
          <c:val>
            <c:numRef>
              <c:f>Graphgen!$L$29:$S$29</c:f>
              <c:numCache>
                <c:formatCode>_-* #,##0_-;\-* #,##0_-;_-*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7-9272-44FA-A5D8-A046BAD6E13B}"/>
            </c:ext>
          </c:extLst>
        </c:ser>
        <c:ser>
          <c:idx val="8"/>
          <c:order val="8"/>
          <c:tx>
            <c:strRef>
              <c:f>Graphgen!$J$31</c:f>
              <c:strCache>
                <c:ptCount val="1"/>
                <c:pt idx="0">
                  <c:v>Educación y comunicación</c:v>
                </c:pt>
              </c:strCache>
            </c:strRef>
          </c:tx>
          <c:spPr>
            <a:solidFill>
              <a:schemeClr val="accent3">
                <a:lumMod val="60000"/>
              </a:schemeClr>
            </a:solidFill>
            <a:ln>
              <a:noFill/>
            </a:ln>
            <a:effectLst/>
          </c:spPr>
          <c:invertIfNegative val="0"/>
          <c:cat>
            <c:multiLvlStrRef>
              <c:f>Graphgen!$L$20:$S$21</c:f>
              <c:multiLvlStrCache>
                <c:ptCount val="8"/>
                <c:lvl>
                  <c:pt idx="0">
                    <c:v>Sin estación de transferencia</c:v>
                  </c:pt>
                  <c:pt idx="1">
                    <c:v>Con estación de transferencia</c:v>
                  </c:pt>
                  <c:pt idx="2">
                    <c:v>Sin estación de transferencia</c:v>
                  </c:pt>
                  <c:pt idx="3">
                    <c:v>Con estación de transferencia</c:v>
                  </c:pt>
                  <c:pt idx="4">
                    <c:v>Sin estación de transferencia</c:v>
                  </c:pt>
                  <c:pt idx="5">
                    <c:v>Con estación de transferencia</c:v>
                  </c:pt>
                  <c:pt idx="6">
                    <c:v>Sin estación de transferencia</c:v>
                  </c:pt>
                  <c:pt idx="7">
                    <c:v>Con estación de transferencia</c:v>
                  </c:pt>
                </c:lvl>
                <c:lvl>
                  <c:pt idx="0">
                    <c:v>Recolección por acera</c:v>
                  </c:pt>
                  <c:pt idx="2">
                    <c:v>Recolección por esquina</c:v>
                  </c:pt>
                  <c:pt idx="4">
                    <c:v>Recolección con contenedores</c:v>
                  </c:pt>
                  <c:pt idx="6">
                    <c:v>Recolección diferenciada con contenedores</c:v>
                  </c:pt>
                </c:lvl>
              </c:multiLvlStrCache>
            </c:multiLvlStrRef>
          </c:cat>
          <c:val>
            <c:numRef>
              <c:f>Graphgen!$L$31:$S$31</c:f>
              <c:numCache>
                <c:formatCode>_-* #,##0_-;\-* #,##0_-;_-*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9272-44FA-A5D8-A046BAD6E13B}"/>
            </c:ext>
          </c:extLst>
        </c:ser>
        <c:dLbls>
          <c:showLegendKey val="0"/>
          <c:showVal val="0"/>
          <c:showCatName val="0"/>
          <c:showSerName val="0"/>
          <c:showPercent val="0"/>
          <c:showBubbleSize val="0"/>
        </c:dLbls>
        <c:gapWidth val="150"/>
        <c:overlap val="100"/>
        <c:axId val="703191640"/>
        <c:axId val="703192296"/>
      </c:barChart>
      <c:barChart>
        <c:barDir val="col"/>
        <c:grouping val="stacked"/>
        <c:varyColors val="0"/>
        <c:ser>
          <c:idx val="9"/>
          <c:order val="9"/>
          <c:tx>
            <c:strRef>
              <c:f>Graphgen!$J$32</c:f>
              <c:strCache>
                <c:ptCount val="1"/>
                <c:pt idx="0">
                  <c:v>[$$$/ton]</c:v>
                </c:pt>
              </c:strCache>
            </c:strRef>
          </c:tx>
          <c:spPr>
            <a:noFill/>
            <a:ln>
              <a:noFill/>
            </a:ln>
            <a:effectLst/>
          </c:spPr>
          <c:invertIfNegative val="0"/>
          <c:dLbls>
            <c:spPr>
              <a:noFill/>
              <a:ln>
                <a:noFill/>
              </a:ln>
              <a:effectLst/>
            </c:spPr>
            <c:txPr>
              <a:bodyPr rot="0" spcFirstLastPara="1" vertOverflow="overflow" horzOverflow="overflow"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multiLvlStrRef>
              <c:f>Graphgen!$L$20:$S$21</c:f>
              <c:multiLvlStrCache>
                <c:ptCount val="8"/>
                <c:lvl>
                  <c:pt idx="0">
                    <c:v>Sin estación de transferencia</c:v>
                  </c:pt>
                  <c:pt idx="1">
                    <c:v>Con estación de transferencia</c:v>
                  </c:pt>
                  <c:pt idx="2">
                    <c:v>Sin estación de transferencia</c:v>
                  </c:pt>
                  <c:pt idx="3">
                    <c:v>Con estación de transferencia</c:v>
                  </c:pt>
                  <c:pt idx="4">
                    <c:v>Sin estación de transferencia</c:v>
                  </c:pt>
                  <c:pt idx="5">
                    <c:v>Con estación de transferencia</c:v>
                  </c:pt>
                  <c:pt idx="6">
                    <c:v>Sin estación de transferencia</c:v>
                  </c:pt>
                  <c:pt idx="7">
                    <c:v>Con estación de transferencia</c:v>
                  </c:pt>
                </c:lvl>
                <c:lvl>
                  <c:pt idx="0">
                    <c:v>Recolección por acera</c:v>
                  </c:pt>
                  <c:pt idx="2">
                    <c:v>Recolección por esquina</c:v>
                  </c:pt>
                  <c:pt idx="4">
                    <c:v>Recolección con contenedores</c:v>
                  </c:pt>
                  <c:pt idx="6">
                    <c:v>Recolección diferenciada con contenedores</c:v>
                  </c:pt>
                </c:lvl>
              </c:multiLvlStrCache>
            </c:multiLvlStrRef>
          </c:cat>
          <c:val>
            <c:numRef>
              <c:f>Graphgen!$L$32:$S$32</c:f>
              <c:numCache>
                <c:formatCode>#,##0\ "$/ton"</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9-9272-44FA-A5D8-A046BAD6E13B}"/>
            </c:ext>
          </c:extLst>
        </c:ser>
        <c:dLbls>
          <c:showLegendKey val="0"/>
          <c:showVal val="0"/>
          <c:showCatName val="0"/>
          <c:showSerName val="0"/>
          <c:showPercent val="0"/>
          <c:showBubbleSize val="0"/>
        </c:dLbls>
        <c:gapWidth val="500"/>
        <c:overlap val="100"/>
        <c:axId val="894522960"/>
        <c:axId val="891303864"/>
      </c:barChart>
      <c:catAx>
        <c:axId val="703191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703192296"/>
        <c:crosses val="autoZero"/>
        <c:auto val="1"/>
        <c:lblAlgn val="ctr"/>
        <c:lblOffset val="100"/>
        <c:noMultiLvlLbl val="0"/>
      </c:catAx>
      <c:valAx>
        <c:axId val="703192296"/>
        <c:scaling>
          <c:orientation val="minMax"/>
        </c:scaling>
        <c:delete val="0"/>
        <c:axPos val="l"/>
        <c:majorGridlines>
          <c:spPr>
            <a:ln w="9525" cap="flat" cmpd="sng" algn="ctr">
              <a:solidFill>
                <a:schemeClr val="tx1">
                  <a:lumMod val="15000"/>
                  <a:lumOff val="85000"/>
                </a:schemeClr>
              </a:solidFill>
              <a:round/>
            </a:ln>
            <a:effectLst/>
          </c:spPr>
        </c:majorGridlines>
        <c:title>
          <c:tx>
            <c:strRef>
              <c:f>Language!$A$841</c:f>
              <c:strCache>
                <c:ptCount val="1"/>
                <c:pt idx="0">
                  <c:v>Costo anual [$$$/año]</c:v>
                </c:pt>
              </c:strCache>
            </c:strRef>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703191640"/>
        <c:crosses val="autoZero"/>
        <c:crossBetween val="between"/>
      </c:valAx>
      <c:valAx>
        <c:axId val="891303864"/>
        <c:scaling>
          <c:orientation val="minMax"/>
        </c:scaling>
        <c:delete val="0"/>
        <c:axPos val="r"/>
        <c:numFmt formatCode="#,##0\ &quot;$/ton&quot;" sourceLinked="1"/>
        <c:majorTickMark val="out"/>
        <c:minorTickMark val="none"/>
        <c:tickLblPos val="nextTo"/>
        <c:spPr>
          <a:solidFill>
            <a:schemeClr val="bg1">
              <a:alpha val="0"/>
            </a:schemeClr>
          </a:solidFill>
          <a:ln>
            <a:solidFill>
              <a:schemeClr val="bg1">
                <a:alpha val="0"/>
              </a:schemeClr>
            </a:solid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de-DE"/>
          </a:p>
        </c:txPr>
        <c:crossAx val="894522960"/>
        <c:crosses val="max"/>
        <c:crossBetween val="between"/>
      </c:valAx>
      <c:catAx>
        <c:axId val="894522960"/>
        <c:scaling>
          <c:orientation val="minMax"/>
        </c:scaling>
        <c:delete val="1"/>
        <c:axPos val="b"/>
        <c:numFmt formatCode="General" sourceLinked="1"/>
        <c:majorTickMark val="out"/>
        <c:minorTickMark val="none"/>
        <c:tickLblPos val="nextTo"/>
        <c:crossAx val="891303864"/>
        <c:crosses val="autoZero"/>
        <c:auto val="1"/>
        <c:lblAlgn val="ctr"/>
        <c:lblOffset val="100"/>
        <c:noMultiLvlLbl val="0"/>
      </c:catAx>
      <c:spPr>
        <a:noFill/>
        <a:ln>
          <a:noFill/>
        </a:ln>
        <a:effectLst/>
      </c:spPr>
    </c:plotArea>
    <c:legend>
      <c:legendPos val="t"/>
      <c:legendEntry>
        <c:idx val="9"/>
        <c:delete val="1"/>
      </c:legendEntry>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de-DE"/>
        </a:p>
      </c:txPr>
    </c:legend>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Graphgen!$U$48:$U$49</c:f>
              <c:strCache>
                <c:ptCount val="2"/>
                <c:pt idx="0">
                  <c:v>Caso real actual</c:v>
                </c:pt>
                <c:pt idx="1">
                  <c:v>Resultados de la modelización</c:v>
                </c:pt>
              </c:strCache>
            </c:strRef>
          </c:cat>
          <c:val>
            <c:numRef>
              <c:f>Graphgen!$V$48:$V$49</c:f>
              <c:numCache>
                <c:formatCode>_-* #,##0_-;\-* #,##0_-;_-* "-"_-;_-@_-</c:formatCode>
                <c:ptCount val="2"/>
                <c:pt idx="0">
                  <c:v>1000000</c:v>
                </c:pt>
                <c:pt idx="1">
                  <c:v>0</c:v>
                </c:pt>
              </c:numCache>
            </c:numRef>
          </c:val>
          <c:extLst>
            <c:ext xmlns:c16="http://schemas.microsoft.com/office/drawing/2014/chart" uri="{C3380CC4-5D6E-409C-BE32-E72D297353CC}">
              <c16:uniqueId val="{00000000-8061-49F9-B8BB-2DFD66965C48}"/>
            </c:ext>
          </c:extLst>
        </c:ser>
        <c:dLbls>
          <c:showLegendKey val="0"/>
          <c:showVal val="0"/>
          <c:showCatName val="0"/>
          <c:showSerName val="0"/>
          <c:showPercent val="0"/>
          <c:showBubbleSize val="0"/>
        </c:dLbls>
        <c:gapWidth val="219"/>
        <c:overlap val="-27"/>
        <c:axId val="2024084528"/>
        <c:axId val="2024098256"/>
      </c:barChart>
      <c:catAx>
        <c:axId val="202408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2024098256"/>
        <c:crosses val="autoZero"/>
        <c:auto val="1"/>
        <c:lblAlgn val="ctr"/>
        <c:lblOffset val="100"/>
        <c:noMultiLvlLbl val="0"/>
      </c:catAx>
      <c:valAx>
        <c:axId val="202409825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20240845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Anexos'!$B$4</c:f>
              <c:strCache>
                <c:ptCount val="1"/>
                <c:pt idx="0">
                  <c:v>Costo por tonelada recolectada [$$$/ton]</c:v>
                </c:pt>
              </c:strCache>
            </c:strRef>
          </c:tx>
          <c:spPr>
            <a:solidFill>
              <a:schemeClr val="accent1"/>
            </a:solidFill>
            <a:ln>
              <a:noFill/>
            </a:ln>
            <a:effectLst/>
          </c:spPr>
          <c:invertIfNegative val="0"/>
          <c:cat>
            <c:multiLvlStrRef>
              <c:f>'6) Anexos'!$C$2:$K$3</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'6) Anexos'!$C$4:$K$4</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E2AC-4C36-BAC0-0EA8B2AE7121}"/>
            </c:ext>
          </c:extLst>
        </c:ser>
        <c:dLbls>
          <c:showLegendKey val="0"/>
          <c:showVal val="0"/>
          <c:showCatName val="0"/>
          <c:showSerName val="0"/>
          <c:showPercent val="0"/>
          <c:showBubbleSize val="0"/>
        </c:dLbls>
        <c:gapWidth val="219"/>
        <c:overlap val="-27"/>
        <c:axId val="553872712"/>
        <c:axId val="553875336"/>
      </c:barChart>
      <c:catAx>
        <c:axId val="55387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5336"/>
        <c:crosses val="autoZero"/>
        <c:auto val="1"/>
        <c:lblAlgn val="ctr"/>
        <c:lblOffset val="100"/>
        <c:noMultiLvlLbl val="0"/>
      </c:catAx>
      <c:valAx>
        <c:axId val="553875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Anexos'!$B$5</c:f>
              <c:strCache>
                <c:ptCount val="1"/>
                <c:pt idx="0">
                  <c:v>Horas hombre por tonelada recolectada [h*persona/t]</c:v>
                </c:pt>
              </c:strCache>
            </c:strRef>
          </c:tx>
          <c:spPr>
            <a:solidFill>
              <a:schemeClr val="accent1"/>
            </a:solidFill>
            <a:ln>
              <a:noFill/>
            </a:ln>
            <a:effectLst/>
          </c:spPr>
          <c:invertIfNegative val="0"/>
          <c:cat>
            <c:multiLvlStrRef>
              <c:f>'6) Anexos'!$C$2:$K$3</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'6) Anexos'!$C$5:$K$5</c:f>
              <c:numCache>
                <c:formatCode>0</c:formatCode>
                <c:ptCount val="9"/>
                <c:pt idx="0" formatCode="General">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1AE0-4DC5-B83E-21BD51D8F261}"/>
            </c:ext>
          </c:extLst>
        </c:ser>
        <c:dLbls>
          <c:showLegendKey val="0"/>
          <c:showVal val="0"/>
          <c:showCatName val="0"/>
          <c:showSerName val="0"/>
          <c:showPercent val="0"/>
          <c:showBubbleSize val="0"/>
        </c:dLbls>
        <c:gapWidth val="219"/>
        <c:overlap val="-27"/>
        <c:axId val="553872712"/>
        <c:axId val="553875336"/>
      </c:barChart>
      <c:catAx>
        <c:axId val="55387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5336"/>
        <c:crosses val="autoZero"/>
        <c:auto val="1"/>
        <c:lblAlgn val="ctr"/>
        <c:lblOffset val="100"/>
        <c:noMultiLvlLbl val="0"/>
      </c:catAx>
      <c:valAx>
        <c:axId val="553875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Anexos'!$B$6</c:f>
              <c:strCache>
                <c:ptCount val="1"/>
                <c:pt idx="0">
                  <c:v>Horas efectivas de recolección [h/día]</c:v>
                </c:pt>
              </c:strCache>
            </c:strRef>
          </c:tx>
          <c:spPr>
            <a:solidFill>
              <a:schemeClr val="accent1"/>
            </a:solidFill>
            <a:ln>
              <a:noFill/>
            </a:ln>
            <a:effectLst/>
          </c:spPr>
          <c:invertIfNegative val="0"/>
          <c:cat>
            <c:multiLvlStrRef>
              <c:f>'6) Anexos'!$C$2:$K$3</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'6) Anexos'!$C$6:$K$6</c:f>
              <c:numCache>
                <c:formatCode>0.0</c:formatCode>
                <c:ptCount val="9"/>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0038-4E7E-B21B-648A049C4859}"/>
            </c:ext>
          </c:extLst>
        </c:ser>
        <c:dLbls>
          <c:showLegendKey val="0"/>
          <c:showVal val="0"/>
          <c:showCatName val="0"/>
          <c:showSerName val="0"/>
          <c:showPercent val="0"/>
          <c:showBubbleSize val="0"/>
        </c:dLbls>
        <c:gapWidth val="219"/>
        <c:overlap val="-27"/>
        <c:axId val="553872712"/>
        <c:axId val="553875336"/>
      </c:barChart>
      <c:catAx>
        <c:axId val="55387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5336"/>
        <c:crosses val="autoZero"/>
        <c:auto val="1"/>
        <c:lblAlgn val="ctr"/>
        <c:lblOffset val="100"/>
        <c:noMultiLvlLbl val="0"/>
      </c:catAx>
      <c:valAx>
        <c:axId val="553875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Anexos'!$B$7</c:f>
              <c:strCache>
                <c:ptCount val="1"/>
                <c:pt idx="0">
                  <c:v>Tiempo efectivo de recolección [%]</c:v>
                </c:pt>
              </c:strCache>
            </c:strRef>
          </c:tx>
          <c:spPr>
            <a:solidFill>
              <a:schemeClr val="accent1"/>
            </a:solidFill>
            <a:ln>
              <a:noFill/>
            </a:ln>
            <a:effectLst/>
          </c:spPr>
          <c:invertIfNegative val="0"/>
          <c:cat>
            <c:multiLvlStrRef>
              <c:f>'6) Anexos'!$C$2:$K$3</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'6) Anexos'!$C$7:$K$7</c:f>
              <c:numCache>
                <c:formatCode>0%</c:formatCode>
                <c:ptCount val="9"/>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967D-4616-891C-C8F0AC0CBB99}"/>
            </c:ext>
          </c:extLst>
        </c:ser>
        <c:dLbls>
          <c:showLegendKey val="0"/>
          <c:showVal val="0"/>
          <c:showCatName val="0"/>
          <c:showSerName val="0"/>
          <c:showPercent val="0"/>
          <c:showBubbleSize val="0"/>
        </c:dLbls>
        <c:gapWidth val="219"/>
        <c:overlap val="-27"/>
        <c:axId val="553872712"/>
        <c:axId val="553875336"/>
      </c:barChart>
      <c:catAx>
        <c:axId val="55387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5336"/>
        <c:crosses val="autoZero"/>
        <c:auto val="1"/>
        <c:lblAlgn val="ctr"/>
        <c:lblOffset val="100"/>
        <c:noMultiLvlLbl val="0"/>
      </c:catAx>
      <c:valAx>
        <c:axId val="553875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Anexos'!$B$8</c:f>
              <c:strCache>
                <c:ptCount val="1"/>
                <c:pt idx="0">
                  <c:v>Tiempo relativo de recolección versus transporte [%]</c:v>
                </c:pt>
              </c:strCache>
            </c:strRef>
          </c:tx>
          <c:spPr>
            <a:solidFill>
              <a:schemeClr val="accent1"/>
            </a:solidFill>
            <a:ln>
              <a:noFill/>
            </a:ln>
            <a:effectLst/>
          </c:spPr>
          <c:invertIfNegative val="0"/>
          <c:cat>
            <c:multiLvlStrRef>
              <c:f>'6) Anexos'!$C$2:$K$3</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'6) Anexos'!$C$8:$K$8</c:f>
              <c:numCache>
                <c:formatCode>0%</c:formatCode>
                <c:ptCount val="9"/>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1403-40E8-BF04-ADC021639C4A}"/>
            </c:ext>
          </c:extLst>
        </c:ser>
        <c:dLbls>
          <c:showLegendKey val="0"/>
          <c:showVal val="0"/>
          <c:showCatName val="0"/>
          <c:showSerName val="0"/>
          <c:showPercent val="0"/>
          <c:showBubbleSize val="0"/>
        </c:dLbls>
        <c:gapWidth val="219"/>
        <c:overlap val="-27"/>
        <c:axId val="553872712"/>
        <c:axId val="553875336"/>
      </c:barChart>
      <c:catAx>
        <c:axId val="55387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5336"/>
        <c:crosses val="autoZero"/>
        <c:auto val="1"/>
        <c:lblAlgn val="ctr"/>
        <c:lblOffset val="100"/>
        <c:noMultiLvlLbl val="0"/>
      </c:catAx>
      <c:valAx>
        <c:axId val="553875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Anexos'!$B$9</c:f>
              <c:strCache>
                <c:ptCount val="1"/>
                <c:pt idx="0">
                  <c:v>Tiempo para llenar camión al 100% [h]</c:v>
                </c:pt>
              </c:strCache>
            </c:strRef>
          </c:tx>
          <c:spPr>
            <a:solidFill>
              <a:schemeClr val="accent1"/>
            </a:solidFill>
            <a:ln>
              <a:noFill/>
            </a:ln>
            <a:effectLst/>
          </c:spPr>
          <c:invertIfNegative val="0"/>
          <c:cat>
            <c:multiLvlStrRef>
              <c:f>'6) Anexos'!$C$2:$K$3</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'6) Anexos'!$C$9:$K$9</c:f>
              <c:numCache>
                <c:formatCode>0.00</c:formatCode>
                <c:ptCount val="9"/>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8475-453D-A69C-EF0E82F714A2}"/>
            </c:ext>
          </c:extLst>
        </c:ser>
        <c:dLbls>
          <c:showLegendKey val="0"/>
          <c:showVal val="0"/>
          <c:showCatName val="0"/>
          <c:showSerName val="0"/>
          <c:showPercent val="0"/>
          <c:showBubbleSize val="0"/>
        </c:dLbls>
        <c:gapWidth val="219"/>
        <c:overlap val="-27"/>
        <c:axId val="553872712"/>
        <c:axId val="553875336"/>
      </c:barChart>
      <c:catAx>
        <c:axId val="55387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5336"/>
        <c:crosses val="autoZero"/>
        <c:auto val="1"/>
        <c:lblAlgn val="ctr"/>
        <c:lblOffset val="100"/>
        <c:noMultiLvlLbl val="0"/>
      </c:catAx>
      <c:valAx>
        <c:axId val="553875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pieChart>
        <c:varyColors val="1"/>
        <c:ser>
          <c:idx val="0"/>
          <c:order val="0"/>
          <c:dPt>
            <c:idx val="0"/>
            <c:bubble3D val="0"/>
            <c:spPr>
              <a:solidFill>
                <a:schemeClr val="accent6">
                  <a:shade val="53000"/>
                </a:schemeClr>
              </a:solidFill>
              <a:ln w="19050">
                <a:solidFill>
                  <a:schemeClr val="lt1"/>
                </a:solidFill>
              </a:ln>
              <a:effectLst/>
            </c:spPr>
            <c:extLst>
              <c:ext xmlns:c16="http://schemas.microsoft.com/office/drawing/2014/chart" uri="{C3380CC4-5D6E-409C-BE32-E72D297353CC}">
                <c16:uniqueId val="{00000006-F5E4-466B-AC34-1F1B0898CC75}"/>
              </c:ext>
            </c:extLst>
          </c:dPt>
          <c:dPt>
            <c:idx val="1"/>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5-F5E4-466B-AC34-1F1B0898CC75}"/>
              </c:ext>
            </c:extLst>
          </c:dPt>
          <c:dPt>
            <c:idx val="2"/>
            <c:bubble3D val="0"/>
            <c:spPr>
              <a:solidFill>
                <a:srgbClr val="C00000"/>
              </a:solidFill>
              <a:ln w="19050">
                <a:solidFill>
                  <a:schemeClr val="lt1"/>
                </a:solidFill>
              </a:ln>
              <a:effectLst/>
            </c:spPr>
            <c:extLst>
              <c:ext xmlns:c16="http://schemas.microsoft.com/office/drawing/2014/chart" uri="{C3380CC4-5D6E-409C-BE32-E72D297353CC}">
                <c16:uniqueId val="{00000004-F5E4-466B-AC34-1F1B0898CC75}"/>
              </c:ext>
            </c:extLst>
          </c:dPt>
          <c:dPt>
            <c:idx val="3"/>
            <c:bubble3D val="0"/>
            <c:spPr>
              <a:solidFill>
                <a:srgbClr val="FF1D1D"/>
              </a:solidFill>
              <a:ln w="19050">
                <a:solidFill>
                  <a:schemeClr val="lt1"/>
                </a:solidFill>
              </a:ln>
              <a:effectLst/>
            </c:spPr>
            <c:extLst>
              <c:ext xmlns:c16="http://schemas.microsoft.com/office/drawing/2014/chart" uri="{C3380CC4-5D6E-409C-BE32-E72D297353CC}">
                <c16:uniqueId val="{00000003-F5E4-466B-AC34-1F1B0898CC75}"/>
              </c:ext>
            </c:extLst>
          </c:dPt>
          <c:dPt>
            <c:idx val="4"/>
            <c:bubble3D val="0"/>
            <c:spPr>
              <a:solidFill>
                <a:schemeClr val="accent2">
                  <a:lumMod val="75000"/>
                </a:schemeClr>
              </a:solidFill>
              <a:ln w="19050">
                <a:solidFill>
                  <a:schemeClr val="lt1"/>
                </a:solidFill>
              </a:ln>
              <a:effectLst/>
            </c:spPr>
            <c:extLst>
              <c:ext xmlns:c16="http://schemas.microsoft.com/office/drawing/2014/chart" uri="{C3380CC4-5D6E-409C-BE32-E72D297353CC}">
                <c16:uniqueId val="{00000002-F5E4-466B-AC34-1F1B0898CC75}"/>
              </c:ext>
            </c:extLst>
          </c:dPt>
          <c:dLbls>
            <c:spPr>
              <a:noFill/>
              <a:ln>
                <a:noFill/>
              </a:ln>
              <a:effectLst/>
            </c:spPr>
            <c:txPr>
              <a:bodyPr rot="0" spcFirstLastPara="1" vertOverflow="overflow" horzOverflow="overflow"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de-DE"/>
              </a:p>
            </c:txPr>
            <c:dLblPos val="outEnd"/>
            <c:showLegendKey val="1"/>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Graphgen!$B$3:$B$7</c:f>
              <c:strCache>
                <c:ptCount val="5"/>
                <c:pt idx="0">
                  <c:v>Recolectados: aprovechados</c:v>
                </c:pt>
                <c:pt idx="1">
                  <c:v>Recolectados: dispuestos de forma segura</c:v>
                </c:pt>
                <c:pt idx="2">
                  <c:v>Recolectados: no gestionados de forma segura</c:v>
                </c:pt>
                <c:pt idx="3">
                  <c:v>No recolectados: dentro de la zona de cobertura</c:v>
                </c:pt>
                <c:pt idx="4">
                  <c:v>No recolectados: fuera de la zona de cobertura</c:v>
                </c:pt>
              </c:strCache>
            </c:strRef>
          </c:cat>
          <c:val>
            <c:numRef>
              <c:f>Graphgen!$C$3:$C$7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F5E4-466B-AC34-1F1B0898CC7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Anexos'!$B$10</c:f>
              <c:strCache>
                <c:ptCount val="1"/>
                <c:pt idx="0">
                  <c:v>Kilómetros recorridos por tonelada recolectada [km/ton]</c:v>
                </c:pt>
              </c:strCache>
            </c:strRef>
          </c:tx>
          <c:spPr>
            <a:solidFill>
              <a:schemeClr val="accent1"/>
            </a:solidFill>
            <a:ln>
              <a:noFill/>
            </a:ln>
            <a:effectLst/>
          </c:spPr>
          <c:invertIfNegative val="0"/>
          <c:cat>
            <c:multiLvlStrRef>
              <c:f>'6) Anexos'!$C$2:$K$3</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'6) Anexos'!$C$10:$K$10</c:f>
              <c:numCache>
                <c:formatCode>0.0</c:formatCode>
                <c:ptCount val="9"/>
                <c:pt idx="0" formatCode="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1012-41D3-BEF9-512A17898B22}"/>
            </c:ext>
          </c:extLst>
        </c:ser>
        <c:dLbls>
          <c:showLegendKey val="0"/>
          <c:showVal val="0"/>
          <c:showCatName val="0"/>
          <c:showSerName val="0"/>
          <c:showPercent val="0"/>
          <c:showBubbleSize val="0"/>
        </c:dLbls>
        <c:gapWidth val="219"/>
        <c:overlap val="-27"/>
        <c:axId val="553872712"/>
        <c:axId val="553875336"/>
      </c:barChart>
      <c:catAx>
        <c:axId val="55387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5336"/>
        <c:crosses val="autoZero"/>
        <c:auto val="1"/>
        <c:lblAlgn val="ctr"/>
        <c:lblOffset val="100"/>
        <c:noMultiLvlLbl val="0"/>
      </c:catAx>
      <c:valAx>
        <c:axId val="553875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Anexos'!$B$11</c:f>
              <c:strCache>
                <c:ptCount val="1"/>
                <c:pt idx="0">
                  <c:v>Total personal de recolección primaria</c:v>
                </c:pt>
              </c:strCache>
            </c:strRef>
          </c:tx>
          <c:spPr>
            <a:solidFill>
              <a:schemeClr val="accent1"/>
            </a:solidFill>
            <a:ln>
              <a:noFill/>
            </a:ln>
            <a:effectLst/>
          </c:spPr>
          <c:invertIfNegative val="0"/>
          <c:cat>
            <c:multiLvlStrRef>
              <c:f>'6) Anexos'!$C$2:$K$3</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'6) Anexos'!$C$11:$K$11</c:f>
              <c:numCache>
                <c:formatCode>0</c:formatCode>
                <c:ptCount val="9"/>
                <c:pt idx="0" formatCode="General">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36AD-43A9-9430-B931DBAA305D}"/>
            </c:ext>
          </c:extLst>
        </c:ser>
        <c:dLbls>
          <c:showLegendKey val="0"/>
          <c:showVal val="0"/>
          <c:showCatName val="0"/>
          <c:showSerName val="0"/>
          <c:showPercent val="0"/>
          <c:showBubbleSize val="0"/>
        </c:dLbls>
        <c:gapWidth val="219"/>
        <c:overlap val="-27"/>
        <c:axId val="553872712"/>
        <c:axId val="553875336"/>
      </c:barChart>
      <c:catAx>
        <c:axId val="55387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5336"/>
        <c:crosses val="autoZero"/>
        <c:auto val="1"/>
        <c:lblAlgn val="ctr"/>
        <c:lblOffset val="100"/>
        <c:noMultiLvlLbl val="0"/>
      </c:catAx>
      <c:valAx>
        <c:axId val="553875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Anexos'!$B$12</c:f>
              <c:strCache>
                <c:ptCount val="1"/>
                <c:pt idx="0">
                  <c:v>Total personal de recolección segundaria</c:v>
                </c:pt>
              </c:strCache>
            </c:strRef>
          </c:tx>
          <c:spPr>
            <a:solidFill>
              <a:schemeClr val="accent1"/>
            </a:solidFill>
            <a:ln>
              <a:noFill/>
            </a:ln>
            <a:effectLst/>
          </c:spPr>
          <c:invertIfNegative val="0"/>
          <c:cat>
            <c:multiLvlStrRef>
              <c:f>'6) Anexos'!$C$2:$K$3</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'6) Anexos'!$C$12:$K$12</c:f>
              <c:numCache>
                <c:formatCode>General</c:formatCode>
                <c:ptCount val="9"/>
                <c:pt idx="0">
                  <c:v>0</c:v>
                </c:pt>
                <c:pt idx="1">
                  <c:v>0</c:v>
                </c:pt>
                <c:pt idx="2">
                  <c:v>0</c:v>
                </c:pt>
                <c:pt idx="3">
                  <c:v>0</c:v>
                </c:pt>
                <c:pt idx="4">
                  <c:v>0</c:v>
                </c:pt>
                <c:pt idx="5">
                  <c:v>0</c:v>
                </c:pt>
                <c:pt idx="6">
                  <c:v>0</c:v>
                </c:pt>
                <c:pt idx="7">
                  <c:v>0</c:v>
                </c:pt>
                <c:pt idx="8" formatCode="0">
                  <c:v>0</c:v>
                </c:pt>
              </c:numCache>
            </c:numRef>
          </c:val>
          <c:extLst>
            <c:ext xmlns:c16="http://schemas.microsoft.com/office/drawing/2014/chart" uri="{C3380CC4-5D6E-409C-BE32-E72D297353CC}">
              <c16:uniqueId val="{00000000-D137-4098-9F22-41E2E37AFE2D}"/>
            </c:ext>
          </c:extLst>
        </c:ser>
        <c:dLbls>
          <c:showLegendKey val="0"/>
          <c:showVal val="0"/>
          <c:showCatName val="0"/>
          <c:showSerName val="0"/>
          <c:showPercent val="0"/>
          <c:showBubbleSize val="0"/>
        </c:dLbls>
        <c:gapWidth val="219"/>
        <c:overlap val="-27"/>
        <c:axId val="553872712"/>
        <c:axId val="553875336"/>
      </c:barChart>
      <c:catAx>
        <c:axId val="55387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5336"/>
        <c:crosses val="autoZero"/>
        <c:auto val="1"/>
        <c:lblAlgn val="ctr"/>
        <c:lblOffset val="100"/>
        <c:noMultiLvlLbl val="0"/>
      </c:catAx>
      <c:valAx>
        <c:axId val="553875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Anexos'!$B$13</c:f>
              <c:strCache>
                <c:ptCount val="1"/>
                <c:pt idx="0">
                  <c:v>Total personal de transferencia y transporte</c:v>
                </c:pt>
              </c:strCache>
            </c:strRef>
          </c:tx>
          <c:spPr>
            <a:solidFill>
              <a:schemeClr val="accent1"/>
            </a:solidFill>
            <a:ln>
              <a:noFill/>
            </a:ln>
            <a:effectLst/>
          </c:spPr>
          <c:invertIfNegative val="0"/>
          <c:cat>
            <c:multiLvlStrRef>
              <c:f>'6) Anexos'!$C$2:$K$3</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'6) Anexos'!$C$13:$K$13</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5CCB-4913-AC03-EE5F4ED18D3F}"/>
            </c:ext>
          </c:extLst>
        </c:ser>
        <c:dLbls>
          <c:showLegendKey val="0"/>
          <c:showVal val="0"/>
          <c:showCatName val="0"/>
          <c:showSerName val="0"/>
          <c:showPercent val="0"/>
          <c:showBubbleSize val="0"/>
        </c:dLbls>
        <c:gapWidth val="219"/>
        <c:overlap val="-27"/>
        <c:axId val="553872712"/>
        <c:axId val="553875336"/>
      </c:barChart>
      <c:catAx>
        <c:axId val="55387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5336"/>
        <c:crosses val="autoZero"/>
        <c:auto val="1"/>
        <c:lblAlgn val="ctr"/>
        <c:lblOffset val="100"/>
        <c:noMultiLvlLbl val="0"/>
      </c:catAx>
      <c:valAx>
        <c:axId val="553875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Anexos'!$B$14</c:f>
              <c:strCache>
                <c:ptCount val="1"/>
                <c:pt idx="0">
                  <c:v>Personal de servicio de recolección total</c:v>
                </c:pt>
              </c:strCache>
            </c:strRef>
          </c:tx>
          <c:spPr>
            <a:solidFill>
              <a:schemeClr val="accent1"/>
            </a:solidFill>
            <a:ln>
              <a:noFill/>
            </a:ln>
            <a:effectLst/>
          </c:spPr>
          <c:invertIfNegative val="0"/>
          <c:cat>
            <c:multiLvlStrRef>
              <c:f>'6) Anexos'!$C$2:$K$3</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'6) Anexos'!$C$14:$K$14</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06F5-404E-BBD7-E6DAC2D6EBD9}"/>
            </c:ext>
          </c:extLst>
        </c:ser>
        <c:dLbls>
          <c:showLegendKey val="0"/>
          <c:showVal val="0"/>
          <c:showCatName val="0"/>
          <c:showSerName val="0"/>
          <c:showPercent val="0"/>
          <c:showBubbleSize val="0"/>
        </c:dLbls>
        <c:gapWidth val="219"/>
        <c:overlap val="-27"/>
        <c:axId val="553872712"/>
        <c:axId val="553875336"/>
      </c:barChart>
      <c:catAx>
        <c:axId val="55387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5336"/>
        <c:crosses val="autoZero"/>
        <c:auto val="1"/>
        <c:lblAlgn val="ctr"/>
        <c:lblOffset val="100"/>
        <c:noMultiLvlLbl val="0"/>
      </c:catAx>
      <c:valAx>
        <c:axId val="553875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Anexos'!$B$15</c:f>
              <c:strCache>
                <c:ptCount val="1"/>
                <c:pt idx="0">
                  <c:v>Cantidad de camiones de recolección</c:v>
                </c:pt>
              </c:strCache>
            </c:strRef>
          </c:tx>
          <c:spPr>
            <a:solidFill>
              <a:schemeClr val="accent1"/>
            </a:solidFill>
            <a:ln>
              <a:noFill/>
            </a:ln>
            <a:effectLst/>
          </c:spPr>
          <c:invertIfNegative val="0"/>
          <c:cat>
            <c:multiLvlStrRef>
              <c:f>'6) Anexos'!$C$2:$K$3</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'6) Anexos'!$C$15:$K$15</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3CA0-43CB-A73D-8AD7415148F3}"/>
            </c:ext>
          </c:extLst>
        </c:ser>
        <c:dLbls>
          <c:showLegendKey val="0"/>
          <c:showVal val="0"/>
          <c:showCatName val="0"/>
          <c:showSerName val="0"/>
          <c:showPercent val="0"/>
          <c:showBubbleSize val="0"/>
        </c:dLbls>
        <c:gapWidth val="219"/>
        <c:overlap val="-27"/>
        <c:axId val="553872712"/>
        <c:axId val="553875336"/>
      </c:barChart>
      <c:catAx>
        <c:axId val="55387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5336"/>
        <c:crosses val="autoZero"/>
        <c:auto val="1"/>
        <c:lblAlgn val="ctr"/>
        <c:lblOffset val="100"/>
        <c:noMultiLvlLbl val="0"/>
      </c:catAx>
      <c:valAx>
        <c:axId val="553875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Anexos'!$B$16</c:f>
              <c:strCache>
                <c:ptCount val="1"/>
                <c:pt idx="0">
                  <c:v>Cantidad de camiones de transporte</c:v>
                </c:pt>
              </c:strCache>
            </c:strRef>
          </c:tx>
          <c:spPr>
            <a:solidFill>
              <a:schemeClr val="accent1"/>
            </a:solidFill>
            <a:ln>
              <a:noFill/>
            </a:ln>
            <a:effectLst/>
          </c:spPr>
          <c:invertIfNegative val="0"/>
          <c:cat>
            <c:multiLvlStrRef>
              <c:f>'6) Anexos'!$C$2:$K$3</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'6) Anexos'!$C$16:$K$16</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68A9-4FF1-AC5F-99112FAD59C6}"/>
            </c:ext>
          </c:extLst>
        </c:ser>
        <c:dLbls>
          <c:showLegendKey val="0"/>
          <c:showVal val="0"/>
          <c:showCatName val="0"/>
          <c:showSerName val="0"/>
          <c:showPercent val="0"/>
          <c:showBubbleSize val="0"/>
        </c:dLbls>
        <c:gapWidth val="219"/>
        <c:overlap val="-27"/>
        <c:axId val="553872712"/>
        <c:axId val="553875336"/>
      </c:barChart>
      <c:catAx>
        <c:axId val="55387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5336"/>
        <c:crosses val="autoZero"/>
        <c:auto val="1"/>
        <c:lblAlgn val="ctr"/>
        <c:lblOffset val="100"/>
        <c:noMultiLvlLbl val="0"/>
      </c:catAx>
      <c:valAx>
        <c:axId val="553875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Anexos'!$B$18</c:f>
              <c:strCache>
                <c:ptCount val="1"/>
                <c:pt idx="0">
                  <c:v>Promedio anual de horas de uso de camión de recolección por día [h/día]</c:v>
                </c:pt>
              </c:strCache>
            </c:strRef>
          </c:tx>
          <c:spPr>
            <a:solidFill>
              <a:schemeClr val="accent1"/>
            </a:solidFill>
            <a:ln>
              <a:noFill/>
            </a:ln>
            <a:effectLst/>
          </c:spPr>
          <c:invertIfNegative val="0"/>
          <c:cat>
            <c:multiLvlStrRef>
              <c:f>'6) Anexos'!$C$2:$K$3</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'6) Anexos'!$C$18:$K$18</c:f>
              <c:numCache>
                <c:formatCode>0.0</c:formatCode>
                <c:ptCount val="9"/>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9FE5-4344-A4BA-9B8AC64D5F14}"/>
            </c:ext>
          </c:extLst>
        </c:ser>
        <c:dLbls>
          <c:showLegendKey val="0"/>
          <c:showVal val="0"/>
          <c:showCatName val="0"/>
          <c:showSerName val="0"/>
          <c:showPercent val="0"/>
          <c:showBubbleSize val="0"/>
        </c:dLbls>
        <c:gapWidth val="219"/>
        <c:overlap val="-27"/>
        <c:axId val="553872712"/>
        <c:axId val="553875336"/>
      </c:barChart>
      <c:catAx>
        <c:axId val="55387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5336"/>
        <c:crosses val="autoZero"/>
        <c:auto val="1"/>
        <c:lblAlgn val="ctr"/>
        <c:lblOffset val="100"/>
        <c:noMultiLvlLbl val="0"/>
      </c:catAx>
      <c:valAx>
        <c:axId val="553875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Anexos'!$B$19</c:f>
              <c:strCache>
                <c:ptCount val="1"/>
                <c:pt idx="0">
                  <c:v>Toneladas anuales depositadas en sitio de disposición final [ton/año]</c:v>
                </c:pt>
              </c:strCache>
            </c:strRef>
          </c:tx>
          <c:spPr>
            <a:solidFill>
              <a:schemeClr val="accent1"/>
            </a:solidFill>
            <a:ln>
              <a:noFill/>
            </a:ln>
            <a:effectLst/>
          </c:spPr>
          <c:invertIfNegative val="0"/>
          <c:cat>
            <c:multiLvlStrRef>
              <c:f>'6) Anexos'!$C$2:$K$3</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'6) Anexos'!$C$19:$K$19</c:f>
              <c:numCache>
                <c:formatCode>0</c:formatCode>
                <c:ptCount val="9"/>
                <c:pt idx="0" formatCode="General">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BE36-417E-8664-BB90C48D0A0D}"/>
            </c:ext>
          </c:extLst>
        </c:ser>
        <c:dLbls>
          <c:showLegendKey val="0"/>
          <c:showVal val="0"/>
          <c:showCatName val="0"/>
          <c:showSerName val="0"/>
          <c:showPercent val="0"/>
          <c:showBubbleSize val="0"/>
        </c:dLbls>
        <c:gapWidth val="219"/>
        <c:overlap val="-27"/>
        <c:axId val="553872712"/>
        <c:axId val="553875336"/>
      </c:barChart>
      <c:catAx>
        <c:axId val="55387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5336"/>
        <c:crosses val="autoZero"/>
        <c:auto val="1"/>
        <c:lblAlgn val="ctr"/>
        <c:lblOffset val="100"/>
        <c:noMultiLvlLbl val="0"/>
      </c:catAx>
      <c:valAx>
        <c:axId val="553875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BO"/>
              <a:t>Habitantes servidos por empleados de recolección segundaria [hab/empleada/o]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Anexos'!$B$22</c:f>
              <c:strCache>
                <c:ptCount val="1"/>
                <c:pt idx="0">
                  <c:v>Habitantes servidos por empleados de recolección segundaria [hab/empleada/o]</c:v>
                </c:pt>
              </c:strCache>
            </c:strRef>
          </c:tx>
          <c:spPr>
            <a:solidFill>
              <a:schemeClr val="accent1"/>
            </a:solidFill>
            <a:ln>
              <a:noFill/>
            </a:ln>
            <a:effectLst/>
          </c:spPr>
          <c:invertIfNegative val="0"/>
          <c:cat>
            <c:multiLvlStrRef>
              <c:f>'6) Anexos'!$C$2:$K$3</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'6) Anexos'!$C$22:$K$22</c:f>
              <c:numCache>
                <c:formatCode>0</c:formatCode>
                <c:ptCount val="9"/>
                <c:pt idx="0" formatCode="General">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D592-4F07-955D-87F4449A4D83}"/>
            </c:ext>
          </c:extLst>
        </c:ser>
        <c:dLbls>
          <c:showLegendKey val="0"/>
          <c:showVal val="0"/>
          <c:showCatName val="0"/>
          <c:showSerName val="0"/>
          <c:showPercent val="0"/>
          <c:showBubbleSize val="0"/>
        </c:dLbls>
        <c:gapWidth val="219"/>
        <c:overlap val="-27"/>
        <c:axId val="553872712"/>
        <c:axId val="553875336"/>
      </c:barChart>
      <c:catAx>
        <c:axId val="55387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5336"/>
        <c:crosses val="autoZero"/>
        <c:auto val="1"/>
        <c:lblAlgn val="ctr"/>
        <c:lblOffset val="100"/>
        <c:noMultiLvlLbl val="0"/>
      </c:catAx>
      <c:valAx>
        <c:axId val="553875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Typical_costs!$I$13</c:f>
          <c:strCache>
            <c:ptCount val="1"/>
            <c:pt idx="0">
              <c:v>Botadero [$$$/ton]</c:v>
            </c:pt>
          </c:strCache>
        </c:strRef>
      </c:tx>
      <c:layout>
        <c:manualLayout>
          <c:xMode val="edge"/>
          <c:yMode val="edge"/>
          <c:x val="0.18748493090593582"/>
          <c:y val="3.7099464540799189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8.5627329913774544E-2"/>
          <c:y val="0.22238110400606054"/>
          <c:w val="0.85132015343664047"/>
          <c:h val="0.43040880493958439"/>
        </c:manualLayout>
      </c:layout>
      <c:barChart>
        <c:barDir val="col"/>
        <c:grouping val="stacked"/>
        <c:varyColors val="0"/>
        <c:ser>
          <c:idx val="0"/>
          <c:order val="0"/>
          <c:spPr>
            <a:noFill/>
            <a:ln>
              <a:noFill/>
            </a:ln>
            <a:effectLst/>
          </c:spPr>
          <c:invertIfNegative val="0"/>
          <c:cat>
            <c:strRef>
              <c:f>Typical_costs!$B$14:$B$20</c:f>
              <c:strCache>
                <c:ptCount val="6"/>
                <c:pt idx="1">
                  <c:v>País de ingreso bajo</c:v>
                </c:pt>
                <c:pt idx="2">
                  <c:v>País de ingreso mediano bajo</c:v>
                </c:pt>
                <c:pt idx="3">
                  <c:v>País de ingreso mediano alto</c:v>
                </c:pt>
                <c:pt idx="4">
                  <c:v>País de ingreso alto</c:v>
                </c:pt>
                <c:pt idx="5">
                  <c:v>Costos típicos del país</c:v>
                </c:pt>
              </c:strCache>
            </c:strRef>
          </c:cat>
          <c:val>
            <c:numRef>
              <c:f>Typical_costs!$I$14:$I$20</c:f>
              <c:numCache>
                <c:formatCode>General</c:formatCode>
                <c:ptCount val="7"/>
                <c:pt idx="1">
                  <c:v>2</c:v>
                </c:pt>
                <c:pt idx="2">
                  <c:v>3</c:v>
                </c:pt>
                <c:pt idx="3">
                  <c:v>0</c:v>
                </c:pt>
                <c:pt idx="4">
                  <c:v>0</c:v>
                </c:pt>
                <c:pt idx="5">
                  <c:v>0</c:v>
                </c:pt>
              </c:numCache>
            </c:numRef>
          </c:val>
          <c:extLst>
            <c:ext xmlns:c16="http://schemas.microsoft.com/office/drawing/2014/chart" uri="{C3380CC4-5D6E-409C-BE32-E72D297353CC}">
              <c16:uniqueId val="{00000000-5F57-4CEA-A498-A0E9D19B4904}"/>
            </c:ext>
          </c:extLst>
        </c:ser>
        <c:ser>
          <c:idx val="1"/>
          <c:order val="1"/>
          <c:spPr>
            <a:solidFill>
              <a:schemeClr val="bg1">
                <a:lumMod val="85000"/>
              </a:schemeClr>
            </a:solidFill>
            <a:ln>
              <a:noFill/>
            </a:ln>
            <a:effectLst/>
          </c:spPr>
          <c:invertIfNegative val="0"/>
          <c:cat>
            <c:strRef>
              <c:f>Typical_costs!$B$14:$B$20</c:f>
              <c:strCache>
                <c:ptCount val="6"/>
                <c:pt idx="1">
                  <c:v>País de ingreso bajo</c:v>
                </c:pt>
                <c:pt idx="2">
                  <c:v>País de ingreso mediano bajo</c:v>
                </c:pt>
                <c:pt idx="3">
                  <c:v>País de ingreso mediano alto</c:v>
                </c:pt>
                <c:pt idx="4">
                  <c:v>País de ingreso alto</c:v>
                </c:pt>
                <c:pt idx="5">
                  <c:v>Costos típicos del país</c:v>
                </c:pt>
              </c:strCache>
            </c:strRef>
          </c:cat>
          <c:val>
            <c:numRef>
              <c:f>Typical_costs!$J$14:$J$20</c:f>
              <c:numCache>
                <c:formatCode>General</c:formatCode>
                <c:ptCount val="7"/>
                <c:pt idx="1">
                  <c:v>6</c:v>
                </c:pt>
                <c:pt idx="2">
                  <c:v>7</c:v>
                </c:pt>
                <c:pt idx="3">
                  <c:v>0</c:v>
                </c:pt>
                <c:pt idx="4">
                  <c:v>0</c:v>
                </c:pt>
                <c:pt idx="5">
                  <c:v>0</c:v>
                </c:pt>
              </c:numCache>
            </c:numRef>
          </c:val>
          <c:extLst>
            <c:ext xmlns:c16="http://schemas.microsoft.com/office/drawing/2014/chart" uri="{C3380CC4-5D6E-409C-BE32-E72D297353CC}">
              <c16:uniqueId val="{00000001-5F57-4CEA-A498-A0E9D19B4904}"/>
            </c:ext>
          </c:extLst>
        </c:ser>
        <c:dLbls>
          <c:showLegendKey val="0"/>
          <c:showVal val="0"/>
          <c:showCatName val="0"/>
          <c:showSerName val="0"/>
          <c:showPercent val="0"/>
          <c:showBubbleSize val="0"/>
        </c:dLbls>
        <c:gapWidth val="150"/>
        <c:overlap val="100"/>
        <c:axId val="1489102752"/>
        <c:axId val="1489099424"/>
      </c:barChart>
      <c:lineChart>
        <c:grouping val="standard"/>
        <c:varyColors val="0"/>
        <c:ser>
          <c:idx val="2"/>
          <c:order val="2"/>
          <c:tx>
            <c:strRef>
              <c:f>Typical_costs!$B$21</c:f>
              <c:strCache>
                <c:ptCount val="1"/>
                <c:pt idx="0">
                  <c:v>Caso real actual</c:v>
                </c:pt>
              </c:strCache>
            </c:strRef>
          </c:tx>
          <c:spPr>
            <a:ln w="28575" cap="rnd">
              <a:solidFill>
                <a:srgbClr val="002060"/>
              </a:solidFill>
              <a:round/>
            </a:ln>
            <a:effectLst/>
          </c:spPr>
          <c:marker>
            <c:symbol val="none"/>
          </c:marker>
          <c:cat>
            <c:strRef>
              <c:f>Typical_costs!$B$15:$B$19</c:f>
              <c:strCache>
                <c:ptCount val="5"/>
                <c:pt idx="0">
                  <c:v>País de ingreso bajo</c:v>
                </c:pt>
                <c:pt idx="1">
                  <c:v>País de ingreso mediano bajo</c:v>
                </c:pt>
                <c:pt idx="2">
                  <c:v>País de ingreso mediano alto</c:v>
                </c:pt>
                <c:pt idx="3">
                  <c:v>País de ingreso alto</c:v>
                </c:pt>
                <c:pt idx="4">
                  <c:v>Costos típicos del país</c:v>
                </c:pt>
              </c:strCache>
            </c:strRef>
          </c:cat>
          <c:val>
            <c:numRef>
              <c:f>Typical_costs!$K$14:$K$20</c:f>
              <c:numCache>
                <c:formatCode>General</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2-5F57-4CEA-A498-A0E9D19B4904}"/>
            </c:ext>
          </c:extLst>
        </c:ser>
        <c:dLbls>
          <c:showLegendKey val="0"/>
          <c:showVal val="0"/>
          <c:showCatName val="0"/>
          <c:showSerName val="0"/>
          <c:showPercent val="0"/>
          <c:showBubbleSize val="0"/>
        </c:dLbls>
        <c:marker val="1"/>
        <c:smooth val="0"/>
        <c:axId val="1489102752"/>
        <c:axId val="1489099424"/>
      </c:lineChart>
      <c:catAx>
        <c:axId val="148910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9099424"/>
        <c:crosses val="autoZero"/>
        <c:auto val="1"/>
        <c:lblAlgn val="ctr"/>
        <c:lblOffset val="100"/>
        <c:noMultiLvlLbl val="0"/>
      </c:catAx>
      <c:valAx>
        <c:axId val="1489099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9102752"/>
        <c:crosses val="autoZero"/>
        <c:crossBetween val="midCat"/>
      </c:valAx>
      <c:spPr>
        <a:noFill/>
        <a:ln>
          <a:noFill/>
        </a:ln>
        <a:effectLst/>
      </c:spPr>
    </c:plotArea>
    <c:legend>
      <c:legendPos val="t"/>
      <c:legendEntry>
        <c:idx val="0"/>
        <c:delete val="1"/>
      </c:legendEntry>
      <c:legendEntry>
        <c:idx val="1"/>
        <c:delete val="1"/>
      </c:legendEntry>
      <c:layout>
        <c:manualLayout>
          <c:xMode val="edge"/>
          <c:yMode val="edge"/>
          <c:x val="0.65360073734740387"/>
          <c:y val="6.857217695957718E-2"/>
          <c:w val="0.29051280625742493"/>
          <c:h val="9.934459103342684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BO"/>
              <a:t>Rendimiento del servicio de barrido de vias [hab/barrendera/o]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Anexos'!$B$23</c:f>
              <c:strCache>
                <c:ptCount val="1"/>
                <c:pt idx="0">
                  <c:v>Eficiencia del servicio de barrido de vías [hab/empleada/o]</c:v>
                </c:pt>
              </c:strCache>
            </c:strRef>
          </c:tx>
          <c:spPr>
            <a:solidFill>
              <a:schemeClr val="accent1"/>
            </a:solidFill>
            <a:ln>
              <a:noFill/>
            </a:ln>
            <a:effectLst/>
          </c:spPr>
          <c:invertIfNegative val="0"/>
          <c:cat>
            <c:multiLvlStrRef>
              <c:f>'6) Anexos'!$C$2:$K$3</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'6) Anexos'!$C$23:$K$23</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82CA-485C-812C-5877FF3FF099}"/>
            </c:ext>
          </c:extLst>
        </c:ser>
        <c:dLbls>
          <c:showLegendKey val="0"/>
          <c:showVal val="0"/>
          <c:showCatName val="0"/>
          <c:showSerName val="0"/>
          <c:showPercent val="0"/>
          <c:showBubbleSize val="0"/>
        </c:dLbls>
        <c:gapWidth val="219"/>
        <c:overlap val="-27"/>
        <c:axId val="553872712"/>
        <c:axId val="553875336"/>
      </c:barChart>
      <c:catAx>
        <c:axId val="55387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5336"/>
        <c:crosses val="autoZero"/>
        <c:auto val="1"/>
        <c:lblAlgn val="ctr"/>
        <c:lblOffset val="100"/>
        <c:noMultiLvlLbl val="0"/>
      </c:catAx>
      <c:valAx>
        <c:axId val="553875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BO"/>
              <a:t>Rendimiento del servicio de barrido de areas públicas [hab/barrendera/o]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Anexos'!$B$24</c:f>
              <c:strCache>
                <c:ptCount val="1"/>
                <c:pt idx="0">
                  <c:v>Eficiencia del servicio de barrido de áreas públicas [hab/empleada/o]</c:v>
                </c:pt>
              </c:strCache>
            </c:strRef>
          </c:tx>
          <c:spPr>
            <a:solidFill>
              <a:schemeClr val="accent1"/>
            </a:solidFill>
            <a:ln>
              <a:noFill/>
            </a:ln>
            <a:effectLst/>
          </c:spPr>
          <c:invertIfNegative val="0"/>
          <c:cat>
            <c:multiLvlStrRef>
              <c:f>'6) Anexos'!$C$2:$K$3</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'6) Anexos'!$C$24:$K$24</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8542-4C2F-A86A-68A7BAFEECCA}"/>
            </c:ext>
          </c:extLst>
        </c:ser>
        <c:dLbls>
          <c:showLegendKey val="0"/>
          <c:showVal val="0"/>
          <c:showCatName val="0"/>
          <c:showSerName val="0"/>
          <c:showPercent val="0"/>
          <c:showBubbleSize val="0"/>
        </c:dLbls>
        <c:gapWidth val="219"/>
        <c:overlap val="-27"/>
        <c:axId val="553872712"/>
        <c:axId val="553875336"/>
      </c:barChart>
      <c:catAx>
        <c:axId val="55387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5336"/>
        <c:crosses val="autoZero"/>
        <c:auto val="1"/>
        <c:lblAlgn val="ctr"/>
        <c:lblOffset val="100"/>
        <c:noMultiLvlLbl val="0"/>
      </c:catAx>
      <c:valAx>
        <c:axId val="553875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Anexos'!$B$25</c:f>
              <c:strCache>
                <c:ptCount val="1"/>
                <c:pt idx="0">
                  <c:v>Toneladas por empleado de recolección convencional por día [t/día*empleado]</c:v>
                </c:pt>
              </c:strCache>
            </c:strRef>
          </c:tx>
          <c:spPr>
            <a:solidFill>
              <a:schemeClr val="accent1"/>
            </a:solidFill>
            <a:ln>
              <a:noFill/>
            </a:ln>
            <a:effectLst/>
          </c:spPr>
          <c:invertIfNegative val="0"/>
          <c:cat>
            <c:multiLvlStrRef>
              <c:f>'6) Anexos'!$C$2:$K$3</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'6) Anexos'!$C$25:$K$25</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D7B2-4B2F-A0B9-B2F8E7F18F35}"/>
            </c:ext>
          </c:extLst>
        </c:ser>
        <c:dLbls>
          <c:showLegendKey val="0"/>
          <c:showVal val="0"/>
          <c:showCatName val="0"/>
          <c:showSerName val="0"/>
          <c:showPercent val="0"/>
          <c:showBubbleSize val="0"/>
        </c:dLbls>
        <c:gapWidth val="219"/>
        <c:overlap val="-27"/>
        <c:axId val="553872712"/>
        <c:axId val="553875336"/>
      </c:barChart>
      <c:catAx>
        <c:axId val="55387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5336"/>
        <c:crosses val="autoZero"/>
        <c:auto val="1"/>
        <c:lblAlgn val="ctr"/>
        <c:lblOffset val="100"/>
        <c:noMultiLvlLbl val="0"/>
      </c:catAx>
      <c:valAx>
        <c:axId val="5538753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BO"/>
              <a:t>Rendimiento del personal en barrido de calles [km/persona*día]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Anexos'!$B$26</c:f>
              <c:strCache>
                <c:ptCount val="1"/>
                <c:pt idx="0">
                  <c:v>Eficiencia del personal en barrido de calles [km/persona*día]</c:v>
                </c:pt>
              </c:strCache>
            </c:strRef>
          </c:tx>
          <c:spPr>
            <a:solidFill>
              <a:schemeClr val="accent1"/>
            </a:solidFill>
            <a:ln>
              <a:noFill/>
            </a:ln>
            <a:effectLst/>
          </c:spPr>
          <c:invertIfNegative val="0"/>
          <c:cat>
            <c:multiLvlStrRef>
              <c:f>'6) Anexos'!$C$2:$K$3</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'6) Anexos'!$C$26:$K$26</c:f>
              <c:numCache>
                <c:formatCode>General</c:formatCode>
                <c:ptCount val="9"/>
                <c:pt idx="0" formatCode="0.0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0B2F-4043-8DE8-89715E27D662}"/>
            </c:ext>
          </c:extLst>
        </c:ser>
        <c:dLbls>
          <c:showLegendKey val="0"/>
          <c:showVal val="0"/>
          <c:showCatName val="0"/>
          <c:showSerName val="0"/>
          <c:showPercent val="0"/>
          <c:showBubbleSize val="0"/>
        </c:dLbls>
        <c:gapWidth val="219"/>
        <c:overlap val="-27"/>
        <c:axId val="553872712"/>
        <c:axId val="553875336"/>
      </c:barChart>
      <c:catAx>
        <c:axId val="55387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5336"/>
        <c:crosses val="autoZero"/>
        <c:auto val="1"/>
        <c:lblAlgn val="ctr"/>
        <c:lblOffset val="100"/>
        <c:noMultiLvlLbl val="0"/>
      </c:catAx>
      <c:valAx>
        <c:axId val="5538753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BO"/>
              <a:t>Rendimiento del personal en barrido de areas públicas [m2/barrendera*día]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Anexos'!$B$27</c:f>
              <c:strCache>
                <c:ptCount val="1"/>
                <c:pt idx="0">
                  <c:v>Eficiencia del personal en barrido de áreas públicas [m2/persona*día]</c:v>
                </c:pt>
              </c:strCache>
            </c:strRef>
          </c:tx>
          <c:spPr>
            <a:solidFill>
              <a:schemeClr val="accent1"/>
            </a:solidFill>
            <a:ln>
              <a:noFill/>
            </a:ln>
            <a:effectLst/>
          </c:spPr>
          <c:invertIfNegative val="0"/>
          <c:cat>
            <c:multiLvlStrRef>
              <c:f>'6) Anexos'!$C$2:$K$3</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'6) Anexos'!$C$27:$K$27</c:f>
              <c:numCache>
                <c:formatCode>General</c:formatCode>
                <c:ptCount val="9"/>
                <c:pt idx="0" formatCode="0.0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7671-410F-B05E-82B8D172229E}"/>
            </c:ext>
          </c:extLst>
        </c:ser>
        <c:dLbls>
          <c:showLegendKey val="0"/>
          <c:showVal val="0"/>
          <c:showCatName val="0"/>
          <c:showSerName val="0"/>
          <c:showPercent val="0"/>
          <c:showBubbleSize val="0"/>
        </c:dLbls>
        <c:gapWidth val="219"/>
        <c:overlap val="-27"/>
        <c:axId val="553872712"/>
        <c:axId val="553875336"/>
      </c:barChart>
      <c:catAx>
        <c:axId val="55387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5336"/>
        <c:crosses val="autoZero"/>
        <c:auto val="1"/>
        <c:lblAlgn val="ctr"/>
        <c:lblOffset val="100"/>
        <c:noMultiLvlLbl val="0"/>
      </c:catAx>
      <c:valAx>
        <c:axId val="5538753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Anexos'!$B$28</c:f>
              <c:strCache>
                <c:ptCount val="1"/>
                <c:pt idx="0">
                  <c:v>Costo por usuario [$$$/hab*año]</c:v>
                </c:pt>
              </c:strCache>
            </c:strRef>
          </c:tx>
          <c:spPr>
            <a:solidFill>
              <a:schemeClr val="accent1"/>
            </a:solidFill>
            <a:ln>
              <a:noFill/>
            </a:ln>
            <a:effectLst/>
          </c:spPr>
          <c:invertIfNegative val="0"/>
          <c:cat>
            <c:multiLvlStrRef>
              <c:f>'6) Anexos'!$C$2:$K$3</c:f>
              <c:multiLvlStrCache>
                <c:ptCount val="9"/>
                <c:lvl>
                  <c:pt idx="1">
                    <c:v>Sin estación de transferencia</c:v>
                  </c:pt>
                  <c:pt idx="2">
                    <c:v>Con estación de transferencia</c:v>
                  </c:pt>
                  <c:pt idx="3">
                    <c:v>Sin estación de transferencia</c:v>
                  </c:pt>
                  <c:pt idx="4">
                    <c:v>Con estación de transferencia</c:v>
                  </c:pt>
                  <c:pt idx="5">
                    <c:v>Sin estación de transferencia</c:v>
                  </c:pt>
                  <c:pt idx="6">
                    <c:v>Con estación de transferencia</c:v>
                  </c:pt>
                  <c:pt idx="7">
                    <c:v>Sin estación de transferencia</c:v>
                  </c:pt>
                  <c:pt idx="8">
                    <c:v>Con estación de transferencia</c:v>
                  </c:pt>
                </c:lvl>
                <c:lvl>
                  <c:pt idx="0">
                    <c:v>Caso real actual</c:v>
                  </c:pt>
                  <c:pt idx="1">
                    <c:v>Recolección por acera</c:v>
                  </c:pt>
                  <c:pt idx="3">
                    <c:v>Recolección por esquina</c:v>
                  </c:pt>
                  <c:pt idx="5">
                    <c:v>Recolección con contenedores</c:v>
                  </c:pt>
                  <c:pt idx="7">
                    <c:v>Recolección diferenciada con contenedores</c:v>
                  </c:pt>
                </c:lvl>
              </c:multiLvlStrCache>
            </c:multiLvlStrRef>
          </c:cat>
          <c:val>
            <c:numRef>
              <c:f>'6) Anexos'!$C$28:$K$28</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AC67-4B2B-8AAE-C55962305749}"/>
            </c:ext>
          </c:extLst>
        </c:ser>
        <c:dLbls>
          <c:showLegendKey val="0"/>
          <c:showVal val="0"/>
          <c:showCatName val="0"/>
          <c:showSerName val="0"/>
          <c:showPercent val="0"/>
          <c:showBubbleSize val="0"/>
        </c:dLbls>
        <c:gapWidth val="219"/>
        <c:overlap val="-27"/>
        <c:axId val="553872712"/>
        <c:axId val="553875336"/>
      </c:barChart>
      <c:catAx>
        <c:axId val="55387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5336"/>
        <c:crosses val="autoZero"/>
        <c:auto val="1"/>
        <c:lblAlgn val="ctr"/>
        <c:lblOffset val="100"/>
        <c:noMultiLvlLbl val="0"/>
      </c:catAx>
      <c:valAx>
        <c:axId val="553875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87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Typical_costs!$L$13</c:f>
          <c:strCache>
            <c:ptCount val="1"/>
            <c:pt idx="0">
              <c:v>Relleno sanitario [B$$$/ton]</c:v>
            </c:pt>
          </c:strCache>
        </c:strRef>
      </c:tx>
      <c:layout>
        <c:manualLayout>
          <c:xMode val="edge"/>
          <c:yMode val="edge"/>
          <c:x val="0.14845426373716758"/>
          <c:y val="4.8231127469064806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7.3041259683530882E-2"/>
          <c:y val="0.25555607397537339"/>
          <c:w val="0.86386731617317991"/>
          <c:h val="0.35753805322025511"/>
        </c:manualLayout>
      </c:layout>
      <c:barChart>
        <c:barDir val="col"/>
        <c:grouping val="stacked"/>
        <c:varyColors val="0"/>
        <c:ser>
          <c:idx val="0"/>
          <c:order val="0"/>
          <c:spPr>
            <a:noFill/>
            <a:ln>
              <a:noFill/>
            </a:ln>
            <a:effectLst/>
          </c:spPr>
          <c:invertIfNegative val="0"/>
          <c:cat>
            <c:strRef>
              <c:f>Typical_costs!$B$14:$B$20</c:f>
              <c:strCache>
                <c:ptCount val="6"/>
                <c:pt idx="1">
                  <c:v>País de ingreso bajo</c:v>
                </c:pt>
                <c:pt idx="2">
                  <c:v>País de ingreso mediano bajo</c:v>
                </c:pt>
                <c:pt idx="3">
                  <c:v>País de ingreso mediano alto</c:v>
                </c:pt>
                <c:pt idx="4">
                  <c:v>País de ingreso alto</c:v>
                </c:pt>
                <c:pt idx="5">
                  <c:v>Costos típicos del país</c:v>
                </c:pt>
              </c:strCache>
            </c:strRef>
          </c:cat>
          <c:val>
            <c:numRef>
              <c:f>Typical_costs!$L$14:$L$20</c:f>
              <c:numCache>
                <c:formatCode>General</c:formatCode>
                <c:ptCount val="7"/>
                <c:pt idx="1">
                  <c:v>10</c:v>
                </c:pt>
                <c:pt idx="2">
                  <c:v>15</c:v>
                </c:pt>
                <c:pt idx="3">
                  <c:v>25</c:v>
                </c:pt>
                <c:pt idx="4">
                  <c:v>40</c:v>
                </c:pt>
                <c:pt idx="5">
                  <c:v>0</c:v>
                </c:pt>
              </c:numCache>
            </c:numRef>
          </c:val>
          <c:extLst>
            <c:ext xmlns:c16="http://schemas.microsoft.com/office/drawing/2014/chart" uri="{C3380CC4-5D6E-409C-BE32-E72D297353CC}">
              <c16:uniqueId val="{00000000-0D36-426C-974C-E97607C5A230}"/>
            </c:ext>
          </c:extLst>
        </c:ser>
        <c:ser>
          <c:idx val="1"/>
          <c:order val="1"/>
          <c:spPr>
            <a:solidFill>
              <a:schemeClr val="bg1">
                <a:lumMod val="85000"/>
              </a:schemeClr>
            </a:solidFill>
            <a:ln>
              <a:noFill/>
            </a:ln>
            <a:effectLst/>
          </c:spPr>
          <c:invertIfNegative val="0"/>
          <c:cat>
            <c:strRef>
              <c:f>Typical_costs!$B$14:$B$20</c:f>
              <c:strCache>
                <c:ptCount val="6"/>
                <c:pt idx="1">
                  <c:v>País de ingreso bajo</c:v>
                </c:pt>
                <c:pt idx="2">
                  <c:v>País de ingreso mediano bajo</c:v>
                </c:pt>
                <c:pt idx="3">
                  <c:v>País de ingreso mediano alto</c:v>
                </c:pt>
                <c:pt idx="4">
                  <c:v>País de ingreso alto</c:v>
                </c:pt>
                <c:pt idx="5">
                  <c:v>Costos típicos del país</c:v>
                </c:pt>
              </c:strCache>
            </c:strRef>
          </c:cat>
          <c:val>
            <c:numRef>
              <c:f>Typical_costs!$M$14:$M$20</c:f>
              <c:numCache>
                <c:formatCode>General</c:formatCode>
                <c:ptCount val="7"/>
                <c:pt idx="1">
                  <c:v>20</c:v>
                </c:pt>
                <c:pt idx="2">
                  <c:v>25</c:v>
                </c:pt>
                <c:pt idx="3">
                  <c:v>50</c:v>
                </c:pt>
                <c:pt idx="4">
                  <c:v>60</c:v>
                </c:pt>
                <c:pt idx="5">
                  <c:v>0</c:v>
                </c:pt>
              </c:numCache>
            </c:numRef>
          </c:val>
          <c:extLst>
            <c:ext xmlns:c16="http://schemas.microsoft.com/office/drawing/2014/chart" uri="{C3380CC4-5D6E-409C-BE32-E72D297353CC}">
              <c16:uniqueId val="{00000001-0D36-426C-974C-E97607C5A230}"/>
            </c:ext>
          </c:extLst>
        </c:ser>
        <c:dLbls>
          <c:showLegendKey val="0"/>
          <c:showVal val="0"/>
          <c:showCatName val="0"/>
          <c:showSerName val="0"/>
          <c:showPercent val="0"/>
          <c:showBubbleSize val="0"/>
        </c:dLbls>
        <c:gapWidth val="150"/>
        <c:overlap val="100"/>
        <c:axId val="1489102752"/>
        <c:axId val="1489099424"/>
      </c:barChart>
      <c:lineChart>
        <c:grouping val="standard"/>
        <c:varyColors val="0"/>
        <c:ser>
          <c:idx val="2"/>
          <c:order val="2"/>
          <c:tx>
            <c:strRef>
              <c:f>Typical_costs!$B$21</c:f>
              <c:strCache>
                <c:ptCount val="1"/>
                <c:pt idx="0">
                  <c:v>Caso real actual</c:v>
                </c:pt>
              </c:strCache>
            </c:strRef>
          </c:tx>
          <c:spPr>
            <a:ln w="28575" cap="rnd">
              <a:solidFill>
                <a:srgbClr val="002060"/>
              </a:solidFill>
              <a:round/>
            </a:ln>
            <a:effectLst/>
          </c:spPr>
          <c:marker>
            <c:symbol val="none"/>
          </c:marker>
          <c:cat>
            <c:strRef>
              <c:f>Typical_costs!$B$14:$B$19</c:f>
              <c:strCache>
                <c:ptCount val="6"/>
                <c:pt idx="1">
                  <c:v>País de ingreso bajo</c:v>
                </c:pt>
                <c:pt idx="2">
                  <c:v>País de ingreso mediano bajo</c:v>
                </c:pt>
                <c:pt idx="3">
                  <c:v>País de ingreso mediano alto</c:v>
                </c:pt>
                <c:pt idx="4">
                  <c:v>País de ingreso alto</c:v>
                </c:pt>
                <c:pt idx="5">
                  <c:v>Costos típicos del país</c:v>
                </c:pt>
              </c:strCache>
            </c:strRef>
          </c:cat>
          <c:val>
            <c:numRef>
              <c:f>Typical_costs!$N$14:$N$20</c:f>
              <c:numCache>
                <c:formatCode>General</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2-0D36-426C-974C-E97607C5A230}"/>
            </c:ext>
          </c:extLst>
        </c:ser>
        <c:dLbls>
          <c:showLegendKey val="0"/>
          <c:showVal val="0"/>
          <c:showCatName val="0"/>
          <c:showSerName val="0"/>
          <c:showPercent val="0"/>
          <c:showBubbleSize val="0"/>
        </c:dLbls>
        <c:marker val="1"/>
        <c:smooth val="0"/>
        <c:axId val="1489102752"/>
        <c:axId val="1489099424"/>
      </c:lineChart>
      <c:catAx>
        <c:axId val="148910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9099424"/>
        <c:crosses val="autoZero"/>
        <c:auto val="1"/>
        <c:lblAlgn val="ctr"/>
        <c:lblOffset val="100"/>
        <c:noMultiLvlLbl val="0"/>
      </c:catAx>
      <c:valAx>
        <c:axId val="1489099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9102752"/>
        <c:crosses val="autoZero"/>
        <c:crossBetween val="midCat"/>
      </c:valAx>
      <c:spPr>
        <a:noFill/>
        <a:ln>
          <a:noFill/>
        </a:ln>
        <a:effectLst/>
      </c:spPr>
    </c:plotArea>
    <c:legend>
      <c:legendPos val="r"/>
      <c:legendEntry>
        <c:idx val="0"/>
        <c:delete val="1"/>
      </c:legendEntry>
      <c:legendEntry>
        <c:idx val="1"/>
        <c:delete val="1"/>
      </c:legendEntry>
      <c:layout>
        <c:manualLayout>
          <c:xMode val="edge"/>
          <c:yMode val="edge"/>
          <c:x val="0.71408515781927728"/>
          <c:y val="7.0104947461165523E-2"/>
          <c:w val="0.22886412376360285"/>
          <c:h val="9.921944444444445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Typical_costs!$O$13</c:f>
          <c:strCache>
            <c:ptCount val="1"/>
            <c:pt idx="0">
              <c:v>Compostaje [$$$/ton]</c:v>
            </c:pt>
          </c:strCache>
        </c:strRef>
      </c:tx>
      <c:layout>
        <c:manualLayout>
          <c:xMode val="edge"/>
          <c:yMode val="edge"/>
          <c:x val="0.15029760194819664"/>
          <c:y val="4.9175749579271455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7.3041244958910262E-2"/>
          <c:y val="0.22799106898689728"/>
          <c:w val="0.86130711009104954"/>
          <c:h val="0.40839491999018424"/>
        </c:manualLayout>
      </c:layout>
      <c:barChart>
        <c:barDir val="col"/>
        <c:grouping val="stacked"/>
        <c:varyColors val="0"/>
        <c:ser>
          <c:idx val="0"/>
          <c:order val="0"/>
          <c:spPr>
            <a:noFill/>
            <a:ln>
              <a:noFill/>
            </a:ln>
            <a:effectLst/>
          </c:spPr>
          <c:invertIfNegative val="0"/>
          <c:cat>
            <c:strRef>
              <c:f>Typical_costs!$B$14:$B$20</c:f>
              <c:strCache>
                <c:ptCount val="6"/>
                <c:pt idx="1">
                  <c:v>País de ingreso bajo</c:v>
                </c:pt>
                <c:pt idx="2">
                  <c:v>País de ingreso mediano bajo</c:v>
                </c:pt>
                <c:pt idx="3">
                  <c:v>País de ingreso mediano alto</c:v>
                </c:pt>
                <c:pt idx="4">
                  <c:v>País de ingreso alto</c:v>
                </c:pt>
                <c:pt idx="5">
                  <c:v>Costos típicos del país</c:v>
                </c:pt>
              </c:strCache>
            </c:strRef>
          </c:cat>
          <c:val>
            <c:numRef>
              <c:f>Typical_costs!$O$14:$O$20</c:f>
              <c:numCache>
                <c:formatCode>General</c:formatCode>
                <c:ptCount val="7"/>
                <c:pt idx="1">
                  <c:v>5</c:v>
                </c:pt>
                <c:pt idx="2">
                  <c:v>10</c:v>
                </c:pt>
                <c:pt idx="3">
                  <c:v>20</c:v>
                </c:pt>
                <c:pt idx="4">
                  <c:v>35</c:v>
                </c:pt>
                <c:pt idx="5">
                  <c:v>0</c:v>
                </c:pt>
              </c:numCache>
            </c:numRef>
          </c:val>
          <c:extLst>
            <c:ext xmlns:c16="http://schemas.microsoft.com/office/drawing/2014/chart" uri="{C3380CC4-5D6E-409C-BE32-E72D297353CC}">
              <c16:uniqueId val="{00000000-FB95-4B81-A4BB-5AF6DE01C0CD}"/>
            </c:ext>
          </c:extLst>
        </c:ser>
        <c:ser>
          <c:idx val="1"/>
          <c:order val="1"/>
          <c:spPr>
            <a:solidFill>
              <a:schemeClr val="bg1">
                <a:lumMod val="85000"/>
              </a:schemeClr>
            </a:solidFill>
            <a:ln>
              <a:noFill/>
            </a:ln>
            <a:effectLst/>
          </c:spPr>
          <c:invertIfNegative val="0"/>
          <c:cat>
            <c:strRef>
              <c:f>Typical_costs!$B$14:$B$20</c:f>
              <c:strCache>
                <c:ptCount val="6"/>
                <c:pt idx="1">
                  <c:v>País de ingreso bajo</c:v>
                </c:pt>
                <c:pt idx="2">
                  <c:v>País de ingreso mediano bajo</c:v>
                </c:pt>
                <c:pt idx="3">
                  <c:v>País de ingreso mediano alto</c:v>
                </c:pt>
                <c:pt idx="4">
                  <c:v>País de ingreso alto</c:v>
                </c:pt>
                <c:pt idx="5">
                  <c:v>Costos típicos del país</c:v>
                </c:pt>
              </c:strCache>
            </c:strRef>
          </c:cat>
          <c:val>
            <c:numRef>
              <c:f>Typical_costs!$P$14:$P$20</c:f>
              <c:numCache>
                <c:formatCode>General</c:formatCode>
                <c:ptCount val="7"/>
                <c:pt idx="1">
                  <c:v>25</c:v>
                </c:pt>
                <c:pt idx="2">
                  <c:v>30</c:v>
                </c:pt>
                <c:pt idx="3">
                  <c:v>55</c:v>
                </c:pt>
                <c:pt idx="4">
                  <c:v>55</c:v>
                </c:pt>
                <c:pt idx="5">
                  <c:v>0</c:v>
                </c:pt>
              </c:numCache>
            </c:numRef>
          </c:val>
          <c:extLst>
            <c:ext xmlns:c16="http://schemas.microsoft.com/office/drawing/2014/chart" uri="{C3380CC4-5D6E-409C-BE32-E72D297353CC}">
              <c16:uniqueId val="{00000001-FB95-4B81-A4BB-5AF6DE01C0CD}"/>
            </c:ext>
          </c:extLst>
        </c:ser>
        <c:dLbls>
          <c:showLegendKey val="0"/>
          <c:showVal val="0"/>
          <c:showCatName val="0"/>
          <c:showSerName val="0"/>
          <c:showPercent val="0"/>
          <c:showBubbleSize val="0"/>
        </c:dLbls>
        <c:gapWidth val="150"/>
        <c:overlap val="100"/>
        <c:axId val="1489102752"/>
        <c:axId val="1489099424"/>
      </c:barChart>
      <c:lineChart>
        <c:grouping val="standard"/>
        <c:varyColors val="0"/>
        <c:ser>
          <c:idx val="2"/>
          <c:order val="2"/>
          <c:tx>
            <c:strRef>
              <c:f>Typical_costs!$B$21</c:f>
              <c:strCache>
                <c:ptCount val="1"/>
                <c:pt idx="0">
                  <c:v>Caso real actual</c:v>
                </c:pt>
              </c:strCache>
            </c:strRef>
          </c:tx>
          <c:spPr>
            <a:ln w="28575" cap="rnd">
              <a:solidFill>
                <a:srgbClr val="002060"/>
              </a:solidFill>
              <a:round/>
            </a:ln>
            <a:effectLst/>
          </c:spPr>
          <c:marker>
            <c:symbol val="none"/>
          </c:marker>
          <c:cat>
            <c:strRef>
              <c:f>Typical_costs!$B$14:$B$20</c:f>
              <c:strCache>
                <c:ptCount val="6"/>
                <c:pt idx="1">
                  <c:v>País de ingreso bajo</c:v>
                </c:pt>
                <c:pt idx="2">
                  <c:v>País de ingreso mediano bajo</c:v>
                </c:pt>
                <c:pt idx="3">
                  <c:v>País de ingreso mediano alto</c:v>
                </c:pt>
                <c:pt idx="4">
                  <c:v>País de ingreso alto</c:v>
                </c:pt>
                <c:pt idx="5">
                  <c:v>Costos típicos del país</c:v>
                </c:pt>
              </c:strCache>
            </c:strRef>
          </c:cat>
          <c:val>
            <c:numRef>
              <c:f>Typical_costs!$Q$14:$Q$20</c:f>
              <c:numCache>
                <c:formatCode>General</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2-FB95-4B81-A4BB-5AF6DE01C0CD}"/>
            </c:ext>
          </c:extLst>
        </c:ser>
        <c:dLbls>
          <c:showLegendKey val="0"/>
          <c:showVal val="0"/>
          <c:showCatName val="0"/>
          <c:showSerName val="0"/>
          <c:showPercent val="0"/>
          <c:showBubbleSize val="0"/>
        </c:dLbls>
        <c:marker val="1"/>
        <c:smooth val="0"/>
        <c:axId val="1489102752"/>
        <c:axId val="1489099424"/>
      </c:lineChart>
      <c:catAx>
        <c:axId val="148910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9099424"/>
        <c:crosses val="autoZero"/>
        <c:auto val="1"/>
        <c:lblAlgn val="ctr"/>
        <c:lblOffset val="100"/>
        <c:noMultiLvlLbl val="0"/>
      </c:catAx>
      <c:valAx>
        <c:axId val="1489099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9102752"/>
        <c:crosses val="autoZero"/>
        <c:crossBetween val="midCat"/>
      </c:valAx>
      <c:spPr>
        <a:noFill/>
        <a:ln>
          <a:noFill/>
        </a:ln>
        <a:effectLst/>
      </c:spPr>
    </c:plotArea>
    <c:legend>
      <c:legendPos val="r"/>
      <c:legendEntry>
        <c:idx val="0"/>
        <c:delete val="1"/>
      </c:legendEntry>
      <c:legendEntry>
        <c:idx val="1"/>
        <c:delete val="1"/>
      </c:legendEntry>
      <c:layout>
        <c:manualLayout>
          <c:xMode val="edge"/>
          <c:yMode val="edge"/>
          <c:x val="0.66045516491147782"/>
          <c:y val="4.8858236865452556E-2"/>
          <c:w val="0.27384698446723144"/>
          <c:h val="9.934459103342684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Typical_costs!$R$13</c:f>
          <c:strCache>
            <c:ptCount val="1"/>
            <c:pt idx="0">
              <c:v>Incineración [$$$/ton]</c:v>
            </c:pt>
          </c:strCache>
        </c:strRef>
      </c:tx>
      <c:layout>
        <c:manualLayout>
          <c:xMode val="edge"/>
          <c:yMode val="edge"/>
          <c:x val="6.8530194124163266E-2"/>
          <c:y val="9.322136981934559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1612614492332907"/>
          <c:y val="0.27277317321767869"/>
          <c:w val="0.78108632522827914"/>
          <c:h val="0.3596798176258646"/>
        </c:manualLayout>
      </c:layout>
      <c:barChart>
        <c:barDir val="col"/>
        <c:grouping val="stacked"/>
        <c:varyColors val="0"/>
        <c:ser>
          <c:idx val="0"/>
          <c:order val="0"/>
          <c:spPr>
            <a:noFill/>
            <a:ln>
              <a:noFill/>
            </a:ln>
            <a:effectLst/>
          </c:spPr>
          <c:invertIfNegative val="0"/>
          <c:cat>
            <c:strRef>
              <c:f>Typical_costs!$B$14:$B$20</c:f>
              <c:strCache>
                <c:ptCount val="6"/>
                <c:pt idx="1">
                  <c:v>País de ingreso bajo</c:v>
                </c:pt>
                <c:pt idx="2">
                  <c:v>País de ingreso mediano bajo</c:v>
                </c:pt>
                <c:pt idx="3">
                  <c:v>País de ingreso mediano alto</c:v>
                </c:pt>
                <c:pt idx="4">
                  <c:v>País de ingreso alto</c:v>
                </c:pt>
                <c:pt idx="5">
                  <c:v>Costos típicos del país</c:v>
                </c:pt>
              </c:strCache>
            </c:strRef>
          </c:cat>
          <c:val>
            <c:numRef>
              <c:f>Typical_costs!$R$14:$R$20</c:f>
              <c:numCache>
                <c:formatCode>General</c:formatCode>
                <c:ptCount val="7"/>
                <c:pt idx="1">
                  <c:v>0</c:v>
                </c:pt>
                <c:pt idx="2">
                  <c:v>40</c:v>
                </c:pt>
                <c:pt idx="3">
                  <c:v>60</c:v>
                </c:pt>
                <c:pt idx="4">
                  <c:v>70</c:v>
                </c:pt>
                <c:pt idx="5">
                  <c:v>0</c:v>
                </c:pt>
              </c:numCache>
            </c:numRef>
          </c:val>
          <c:extLst>
            <c:ext xmlns:c16="http://schemas.microsoft.com/office/drawing/2014/chart" uri="{C3380CC4-5D6E-409C-BE32-E72D297353CC}">
              <c16:uniqueId val="{00000000-8B46-4CCB-9DA5-DC32C98479F2}"/>
            </c:ext>
          </c:extLst>
        </c:ser>
        <c:ser>
          <c:idx val="1"/>
          <c:order val="1"/>
          <c:spPr>
            <a:solidFill>
              <a:schemeClr val="bg1">
                <a:lumMod val="85000"/>
              </a:schemeClr>
            </a:solidFill>
            <a:ln>
              <a:noFill/>
            </a:ln>
            <a:effectLst/>
          </c:spPr>
          <c:invertIfNegative val="0"/>
          <c:cat>
            <c:strRef>
              <c:f>Typical_costs!$B$14:$B$20</c:f>
              <c:strCache>
                <c:ptCount val="6"/>
                <c:pt idx="1">
                  <c:v>País de ingreso bajo</c:v>
                </c:pt>
                <c:pt idx="2">
                  <c:v>País de ingreso mediano bajo</c:v>
                </c:pt>
                <c:pt idx="3">
                  <c:v>País de ingreso mediano alto</c:v>
                </c:pt>
                <c:pt idx="4">
                  <c:v>País de ingreso alto</c:v>
                </c:pt>
                <c:pt idx="5">
                  <c:v>Costos típicos del país</c:v>
                </c:pt>
              </c:strCache>
            </c:strRef>
          </c:cat>
          <c:val>
            <c:numRef>
              <c:f>Typical_costs!$S$14:$S$20</c:f>
              <c:numCache>
                <c:formatCode>General</c:formatCode>
                <c:ptCount val="7"/>
                <c:pt idx="1">
                  <c:v>0</c:v>
                </c:pt>
                <c:pt idx="2">
                  <c:v>60</c:v>
                </c:pt>
                <c:pt idx="3">
                  <c:v>90</c:v>
                </c:pt>
                <c:pt idx="4">
                  <c:v>130</c:v>
                </c:pt>
                <c:pt idx="5">
                  <c:v>0</c:v>
                </c:pt>
              </c:numCache>
            </c:numRef>
          </c:val>
          <c:extLst>
            <c:ext xmlns:c16="http://schemas.microsoft.com/office/drawing/2014/chart" uri="{C3380CC4-5D6E-409C-BE32-E72D297353CC}">
              <c16:uniqueId val="{00000001-8B46-4CCB-9DA5-DC32C98479F2}"/>
            </c:ext>
          </c:extLst>
        </c:ser>
        <c:dLbls>
          <c:showLegendKey val="0"/>
          <c:showVal val="0"/>
          <c:showCatName val="0"/>
          <c:showSerName val="0"/>
          <c:showPercent val="0"/>
          <c:showBubbleSize val="0"/>
        </c:dLbls>
        <c:gapWidth val="150"/>
        <c:overlap val="100"/>
        <c:axId val="1489102752"/>
        <c:axId val="1489099424"/>
      </c:barChart>
      <c:lineChart>
        <c:grouping val="standard"/>
        <c:varyColors val="0"/>
        <c:ser>
          <c:idx val="2"/>
          <c:order val="2"/>
          <c:tx>
            <c:strRef>
              <c:f>Typical_costs!$B$21</c:f>
              <c:strCache>
                <c:ptCount val="1"/>
                <c:pt idx="0">
                  <c:v>Caso real actual</c:v>
                </c:pt>
              </c:strCache>
            </c:strRef>
          </c:tx>
          <c:spPr>
            <a:ln w="28575" cap="rnd">
              <a:solidFill>
                <a:schemeClr val="accent3"/>
              </a:solidFill>
              <a:round/>
            </a:ln>
            <a:effectLst/>
          </c:spPr>
          <c:marker>
            <c:symbol val="none"/>
          </c:marker>
          <c:cat>
            <c:strRef>
              <c:f>Typical_costs!$B$15:$B$19</c:f>
              <c:strCache>
                <c:ptCount val="5"/>
                <c:pt idx="0">
                  <c:v>País de ingreso bajo</c:v>
                </c:pt>
                <c:pt idx="1">
                  <c:v>País de ingreso mediano bajo</c:v>
                </c:pt>
                <c:pt idx="2">
                  <c:v>País de ingreso mediano alto</c:v>
                </c:pt>
                <c:pt idx="3">
                  <c:v>País de ingreso alto</c:v>
                </c:pt>
                <c:pt idx="4">
                  <c:v>Costos típicos del país</c:v>
                </c:pt>
              </c:strCache>
            </c:strRef>
          </c:cat>
          <c:val>
            <c:numRef>
              <c:f>Typical_costs!$T$14:$T$20</c:f>
              <c:numCache>
                <c:formatCode>General</c:formatCode>
                <c:ptCount val="7"/>
              </c:numCache>
            </c:numRef>
          </c:val>
          <c:smooth val="0"/>
          <c:extLst>
            <c:ext xmlns:c16="http://schemas.microsoft.com/office/drawing/2014/chart" uri="{C3380CC4-5D6E-409C-BE32-E72D297353CC}">
              <c16:uniqueId val="{00000002-8B46-4CCB-9DA5-DC32C98479F2}"/>
            </c:ext>
          </c:extLst>
        </c:ser>
        <c:dLbls>
          <c:showLegendKey val="0"/>
          <c:showVal val="0"/>
          <c:showCatName val="0"/>
          <c:showSerName val="0"/>
          <c:showPercent val="0"/>
          <c:showBubbleSize val="0"/>
        </c:dLbls>
        <c:marker val="1"/>
        <c:smooth val="0"/>
        <c:axId val="1489102752"/>
        <c:axId val="1489099424"/>
      </c:lineChart>
      <c:catAx>
        <c:axId val="148910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9099424"/>
        <c:crosses val="autoZero"/>
        <c:auto val="1"/>
        <c:lblAlgn val="ctr"/>
        <c:lblOffset val="100"/>
        <c:noMultiLvlLbl val="0"/>
      </c:catAx>
      <c:valAx>
        <c:axId val="1489099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910275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Graphgen!$F$10:$F$12</c:f>
              <c:strCache>
                <c:ptCount val="3"/>
                <c:pt idx="0">
                  <c:v>Costo anual total [$$$/año]</c:v>
                </c:pt>
                <c:pt idx="1">
                  <c:v>Presupuesto anual [$$$/año]</c:v>
                </c:pt>
                <c:pt idx="2">
                  <c:v>Cobrado anualmente [$$$/año]</c:v>
                </c:pt>
              </c:strCache>
            </c:strRef>
          </c:cat>
          <c:val>
            <c:numRef>
              <c:f>Graphgen!$G$10:$G$12</c:f>
              <c:numCache>
                <c:formatCode>#,##0</c:formatCode>
                <c:ptCount val="3"/>
                <c:pt idx="0" formatCode="_-* #,##0_-;\-* #,##0_-;_-* &quot;-&quot;??_-;_-@_-">
                  <c:v>21120000</c:v>
                </c:pt>
                <c:pt idx="1">
                  <c:v>0</c:v>
                </c:pt>
                <c:pt idx="2">
                  <c:v>10000000</c:v>
                </c:pt>
              </c:numCache>
            </c:numRef>
          </c:val>
          <c:extLst>
            <c:ext xmlns:c16="http://schemas.microsoft.com/office/drawing/2014/chart" uri="{C3380CC4-5D6E-409C-BE32-E72D297353CC}">
              <c16:uniqueId val="{00000000-EBA1-4BAA-AE56-8CA86A7B6F2F}"/>
            </c:ext>
          </c:extLst>
        </c:ser>
        <c:dLbls>
          <c:showLegendKey val="0"/>
          <c:showVal val="0"/>
          <c:showCatName val="0"/>
          <c:showSerName val="0"/>
          <c:showPercent val="0"/>
          <c:showBubbleSize val="0"/>
        </c:dLbls>
        <c:gapWidth val="219"/>
        <c:overlap val="-27"/>
        <c:axId val="287990448"/>
        <c:axId val="287990864"/>
      </c:barChart>
      <c:catAx>
        <c:axId val="28799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de-DE"/>
          </a:p>
        </c:txPr>
        <c:crossAx val="287990864"/>
        <c:crosses val="autoZero"/>
        <c:auto val="1"/>
        <c:lblAlgn val="ctr"/>
        <c:lblOffset val="100"/>
        <c:noMultiLvlLbl val="0"/>
      </c:catAx>
      <c:valAx>
        <c:axId val="2879908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de-DE"/>
          </a:p>
        </c:txPr>
        <c:crossAx val="2879904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6146916441734952"/>
          <c:y val="0.1912545001136399"/>
          <c:w val="0.50694494511189303"/>
          <c:h val="0.71007020889175521"/>
        </c:manualLayout>
      </c:layout>
      <c:pieChart>
        <c:varyColors val="1"/>
        <c:ser>
          <c:idx val="0"/>
          <c:order val="0"/>
          <c:dPt>
            <c:idx val="0"/>
            <c:bubble3D val="0"/>
            <c:spPr>
              <a:solidFill>
                <a:schemeClr val="accent1">
                  <a:shade val="47000"/>
                </a:schemeClr>
              </a:solidFill>
              <a:ln w="19050">
                <a:solidFill>
                  <a:schemeClr val="lt1"/>
                </a:solidFill>
              </a:ln>
              <a:effectLst/>
            </c:spPr>
            <c:extLst>
              <c:ext xmlns:c16="http://schemas.microsoft.com/office/drawing/2014/chart" uri="{C3380CC4-5D6E-409C-BE32-E72D297353CC}">
                <c16:uniqueId val="{00000001-85B7-44AE-8AF2-9F59AA5FCE02}"/>
              </c:ext>
            </c:extLst>
          </c:dPt>
          <c:dPt>
            <c:idx val="1"/>
            <c:bubble3D val="0"/>
            <c:spPr>
              <a:solidFill>
                <a:schemeClr val="accent1">
                  <a:shade val="65000"/>
                </a:schemeClr>
              </a:solidFill>
              <a:ln w="19050">
                <a:solidFill>
                  <a:schemeClr val="lt1"/>
                </a:solidFill>
              </a:ln>
              <a:effectLst/>
            </c:spPr>
            <c:extLst>
              <c:ext xmlns:c16="http://schemas.microsoft.com/office/drawing/2014/chart" uri="{C3380CC4-5D6E-409C-BE32-E72D297353CC}">
                <c16:uniqueId val="{00000003-85B7-44AE-8AF2-9F59AA5FCE02}"/>
              </c:ext>
            </c:extLst>
          </c:dPt>
          <c:dPt>
            <c:idx val="2"/>
            <c:bubble3D val="0"/>
            <c:spPr>
              <a:solidFill>
                <a:schemeClr val="accent1">
                  <a:shade val="82000"/>
                </a:schemeClr>
              </a:solidFill>
              <a:ln w="19050">
                <a:solidFill>
                  <a:schemeClr val="lt1"/>
                </a:solidFill>
              </a:ln>
              <a:effectLst/>
            </c:spPr>
            <c:extLst>
              <c:ext xmlns:c16="http://schemas.microsoft.com/office/drawing/2014/chart" uri="{C3380CC4-5D6E-409C-BE32-E72D297353CC}">
                <c16:uniqueId val="{00000005-85B7-44AE-8AF2-9F59AA5FCE02}"/>
              </c:ext>
            </c:extLst>
          </c:dPt>
          <c:dPt>
            <c:idx val="3"/>
            <c:bubble3D val="0"/>
            <c:spPr>
              <a:solidFill>
                <a:schemeClr val="accent1"/>
              </a:solidFill>
              <a:ln w="19050">
                <a:solidFill>
                  <a:schemeClr val="lt1"/>
                </a:solidFill>
              </a:ln>
              <a:effectLst/>
            </c:spPr>
            <c:extLst>
              <c:ext xmlns:c16="http://schemas.microsoft.com/office/drawing/2014/chart" uri="{C3380CC4-5D6E-409C-BE32-E72D297353CC}">
                <c16:uniqueId val="{00000007-85B7-44AE-8AF2-9F59AA5FCE02}"/>
              </c:ext>
            </c:extLst>
          </c:dPt>
          <c:dPt>
            <c:idx val="4"/>
            <c:bubble3D val="0"/>
            <c:spPr>
              <a:solidFill>
                <a:schemeClr val="accent1">
                  <a:tint val="83000"/>
                </a:schemeClr>
              </a:solidFill>
              <a:ln w="19050">
                <a:solidFill>
                  <a:schemeClr val="lt1"/>
                </a:solidFill>
              </a:ln>
              <a:effectLst/>
            </c:spPr>
            <c:extLst>
              <c:ext xmlns:c16="http://schemas.microsoft.com/office/drawing/2014/chart" uri="{C3380CC4-5D6E-409C-BE32-E72D297353CC}">
                <c16:uniqueId val="{00000009-85B7-44AE-8AF2-9F59AA5FCE02}"/>
              </c:ext>
            </c:extLst>
          </c:dPt>
          <c:dPt>
            <c:idx val="5"/>
            <c:bubble3D val="0"/>
            <c:spPr>
              <a:solidFill>
                <a:schemeClr val="accent1">
                  <a:tint val="65000"/>
                </a:schemeClr>
              </a:solidFill>
              <a:ln w="19050">
                <a:solidFill>
                  <a:schemeClr val="lt1"/>
                </a:solidFill>
              </a:ln>
              <a:effectLst/>
            </c:spPr>
            <c:extLst>
              <c:ext xmlns:c16="http://schemas.microsoft.com/office/drawing/2014/chart" uri="{C3380CC4-5D6E-409C-BE32-E72D297353CC}">
                <c16:uniqueId val="{0000000B-85B7-44AE-8AF2-9F59AA5FCE02}"/>
              </c:ext>
            </c:extLst>
          </c:dPt>
          <c:dPt>
            <c:idx val="6"/>
            <c:bubble3D val="0"/>
            <c:spPr>
              <a:solidFill>
                <a:schemeClr val="accent1">
                  <a:tint val="48000"/>
                </a:schemeClr>
              </a:solidFill>
              <a:ln w="19050">
                <a:solidFill>
                  <a:schemeClr val="lt1"/>
                </a:solidFill>
              </a:ln>
              <a:effectLst/>
            </c:spPr>
            <c:extLst>
              <c:ext xmlns:c16="http://schemas.microsoft.com/office/drawing/2014/chart" uri="{C3380CC4-5D6E-409C-BE32-E72D297353CC}">
                <c16:uniqueId val="{0000000D-85B7-44AE-8AF2-9F59AA5FCE02}"/>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de-DE"/>
              </a:p>
            </c:txPr>
            <c:dLblPos val="outEnd"/>
            <c:showLegendKey val="1"/>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'4) Resultados'!$S$9:$S$15</c:f>
              <c:strCache>
                <c:ptCount val="7"/>
                <c:pt idx="0">
                  <c:v>Barrido de vías y áreas públicas</c:v>
                </c:pt>
                <c:pt idx="1">
                  <c:v>Taller de mantenimiento</c:v>
                </c:pt>
                <c:pt idx="2">
                  <c:v>Servicio de recolección</c:v>
                </c:pt>
                <c:pt idx="3">
                  <c:v>Planta de reciclaje</c:v>
                </c:pt>
                <c:pt idx="4">
                  <c:v>Planta de compostaje</c:v>
                </c:pt>
                <c:pt idx="5">
                  <c:v>Estación de transferencia y transporte</c:v>
                </c:pt>
                <c:pt idx="6">
                  <c:v>Disposición final</c:v>
                </c:pt>
              </c:strCache>
            </c:strRef>
          </c:cat>
          <c:val>
            <c:numRef>
              <c:f>'4) Resultados'!$T$9:$T$15</c:f>
              <c:numCache>
                <c:formatCode>_-* #,##0_-;\-* #,##0_-;_-* "-"??_-;_-@_-</c:formatCode>
                <c:ptCount val="7"/>
                <c:pt idx="0">
                  <c:v>1000000</c:v>
                </c:pt>
                <c:pt idx="1">
                  <c:v>1000000</c:v>
                </c:pt>
                <c:pt idx="2">
                  <c:v>5000000</c:v>
                </c:pt>
                <c:pt idx="3">
                  <c:v>2000000</c:v>
                </c:pt>
                <c:pt idx="4">
                  <c:v>3000000</c:v>
                </c:pt>
                <c:pt idx="5">
                  <c:v>1000000</c:v>
                </c:pt>
                <c:pt idx="6">
                  <c:v>4000000</c:v>
                </c:pt>
              </c:numCache>
            </c:numRef>
          </c:val>
          <c:extLst>
            <c:ext xmlns:c16="http://schemas.microsoft.com/office/drawing/2014/chart" uri="{C3380CC4-5D6E-409C-BE32-E72D297353CC}">
              <c16:uniqueId val="{00000000-A58F-4382-B095-2D3218D60C4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73731907617986"/>
          <c:y val="0.18849819809486792"/>
          <c:w val="0.46971445747658297"/>
          <c:h val="0.72560911552867446"/>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BDC-4F76-A239-5725BF45A91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9107-47CA-8944-5F4C2DD9FE5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BDC-4F76-A239-5725BF45A91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9107-47CA-8944-5F4C2DD9FE5D}"/>
              </c:ext>
            </c:extLst>
          </c:dPt>
          <c:dLbls>
            <c:dLbl>
              <c:idx val="1"/>
              <c:layout>
                <c:manualLayout>
                  <c:x val="-5.9132418845773582E-2"/>
                  <c:y val="8.4086205077674211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9107-47CA-8944-5F4C2DD9FE5D}"/>
                </c:ext>
              </c:extLst>
            </c:dLbl>
            <c:dLbl>
              <c:idx val="3"/>
              <c:layout>
                <c:manualLayout>
                  <c:x val="5.639476692087237E-2"/>
                  <c:y val="-6.4516139957013141E-3"/>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9107-47CA-8944-5F4C2DD9FE5D}"/>
                </c:ext>
              </c:extLst>
            </c:dLbl>
            <c:spPr>
              <a:noFill/>
              <a:ln>
                <a:noFill/>
              </a:ln>
              <a:effectLst/>
            </c:spPr>
            <c:txPr>
              <a:bodyPr rot="0" spcFirstLastPara="1" vertOverflow="overflow" horzOverflow="overflow"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Graphgen!$F$15:$F$18</c:f>
              <c:strCache>
                <c:ptCount val="4"/>
                <c:pt idx="0">
                  <c:v>Prestación del servicio</c:v>
                </c:pt>
                <c:pt idx="1">
                  <c:v>Administración del servicio</c:v>
                </c:pt>
                <c:pt idx="2">
                  <c:v>Planificación y fiscalización del servicio</c:v>
                </c:pt>
                <c:pt idx="3">
                  <c:v>Educación y comunicación</c:v>
                </c:pt>
              </c:strCache>
            </c:strRef>
          </c:cat>
          <c:val>
            <c:numRef>
              <c:f>Graphgen!$G$15:$G$18</c:f>
              <c:numCache>
                <c:formatCode>_-* #,##0_-;\-* #,##0_-;_-* "-"??_-;_-@_-</c:formatCode>
                <c:ptCount val="4"/>
                <c:pt idx="0">
                  <c:v>17000000</c:v>
                </c:pt>
                <c:pt idx="1">
                  <c:v>1000000</c:v>
                </c:pt>
                <c:pt idx="2">
                  <c:v>1200000</c:v>
                </c:pt>
                <c:pt idx="3">
                  <c:v>1920000</c:v>
                </c:pt>
              </c:numCache>
            </c:numRef>
          </c:val>
          <c:extLst>
            <c:ext xmlns:c16="http://schemas.microsoft.com/office/drawing/2014/chart" uri="{C3380CC4-5D6E-409C-BE32-E72D297353CC}">
              <c16:uniqueId val="{00000000-9107-47CA-8944-5F4C2DD9FE5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Reversed" id="22">
  <a:schemeClr val="accent2"/>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9">
  <a:schemeClr val="accent6"/>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 id="14">
  <a:schemeClr val="accent1"/>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1.xml"/><Relationship Id="rId13" Type="http://schemas.openxmlformats.org/officeDocument/2006/relationships/chart" Target="../charts/chart26.xml"/><Relationship Id="rId18" Type="http://schemas.openxmlformats.org/officeDocument/2006/relationships/chart" Target="../charts/chart31.xml"/><Relationship Id="rId3" Type="http://schemas.openxmlformats.org/officeDocument/2006/relationships/chart" Target="../charts/chart16.xml"/><Relationship Id="rId21" Type="http://schemas.openxmlformats.org/officeDocument/2006/relationships/chart" Target="../charts/chart34.xml"/><Relationship Id="rId7" Type="http://schemas.openxmlformats.org/officeDocument/2006/relationships/chart" Target="../charts/chart20.xml"/><Relationship Id="rId12" Type="http://schemas.openxmlformats.org/officeDocument/2006/relationships/chart" Target="../charts/chart25.xml"/><Relationship Id="rId17" Type="http://schemas.openxmlformats.org/officeDocument/2006/relationships/chart" Target="../charts/chart30.xml"/><Relationship Id="rId2" Type="http://schemas.openxmlformats.org/officeDocument/2006/relationships/chart" Target="../charts/chart15.xml"/><Relationship Id="rId16" Type="http://schemas.openxmlformats.org/officeDocument/2006/relationships/chart" Target="../charts/chart29.xml"/><Relationship Id="rId20" Type="http://schemas.openxmlformats.org/officeDocument/2006/relationships/chart" Target="../charts/chart33.xml"/><Relationship Id="rId1" Type="http://schemas.openxmlformats.org/officeDocument/2006/relationships/chart" Target="../charts/chart14.xml"/><Relationship Id="rId6" Type="http://schemas.openxmlformats.org/officeDocument/2006/relationships/chart" Target="../charts/chart19.xml"/><Relationship Id="rId11" Type="http://schemas.openxmlformats.org/officeDocument/2006/relationships/chart" Target="../charts/chart24.xml"/><Relationship Id="rId5" Type="http://schemas.openxmlformats.org/officeDocument/2006/relationships/chart" Target="../charts/chart18.xml"/><Relationship Id="rId15" Type="http://schemas.openxmlformats.org/officeDocument/2006/relationships/chart" Target="../charts/chart28.xml"/><Relationship Id="rId10" Type="http://schemas.openxmlformats.org/officeDocument/2006/relationships/chart" Target="../charts/chart23.xml"/><Relationship Id="rId19" Type="http://schemas.openxmlformats.org/officeDocument/2006/relationships/chart" Target="../charts/chart32.xml"/><Relationship Id="rId4" Type="http://schemas.openxmlformats.org/officeDocument/2006/relationships/chart" Target="../charts/chart17.xml"/><Relationship Id="rId9" Type="http://schemas.openxmlformats.org/officeDocument/2006/relationships/chart" Target="../charts/chart22.xml"/><Relationship Id="rId14" Type="http://schemas.openxmlformats.org/officeDocument/2006/relationships/chart" Target="../charts/chart27.xml"/><Relationship Id="rId22" Type="http://schemas.openxmlformats.org/officeDocument/2006/relationships/chart" Target="../charts/chart35.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35</xdr:col>
      <xdr:colOff>388732</xdr:colOff>
      <xdr:row>33</xdr:row>
      <xdr:rowOff>44617</xdr:rowOff>
    </xdr:from>
    <xdr:to>
      <xdr:col>43</xdr:col>
      <xdr:colOff>394089</xdr:colOff>
      <xdr:row>40</xdr:row>
      <xdr:rowOff>99525</xdr:rowOff>
    </xdr:to>
    <xdr:graphicFrame macro="">
      <xdr:nvGraphicFramePr>
        <xdr:cNvPr id="10" name="Graphique 12">
          <a:extLst>
            <a:ext uri="{FF2B5EF4-FFF2-40B4-BE49-F238E27FC236}">
              <a16:creationId xmlns:a16="http://schemas.microsoft.com/office/drawing/2014/main" id="{F0812B46-447D-47CB-880B-3BF8B4C841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387497</xdr:colOff>
      <xdr:row>6</xdr:row>
      <xdr:rowOff>51955</xdr:rowOff>
    </xdr:from>
    <xdr:to>
      <xdr:col>15</xdr:col>
      <xdr:colOff>2112819</xdr:colOff>
      <xdr:row>31</xdr:row>
      <xdr:rowOff>238991</xdr:rowOff>
    </xdr:to>
    <xdr:graphicFrame macro="">
      <xdr:nvGraphicFramePr>
        <xdr:cNvPr id="3" name="Chart 2">
          <a:extLst>
            <a:ext uri="{FF2B5EF4-FFF2-40B4-BE49-F238E27FC236}">
              <a16:creationId xmlns:a16="http://schemas.microsoft.com/office/drawing/2014/main" id="{C15A8382-F491-4955-A8DE-667E189D38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35</xdr:col>
      <xdr:colOff>263520</xdr:colOff>
      <xdr:row>39</xdr:row>
      <xdr:rowOff>187481</xdr:rowOff>
    </xdr:from>
    <xdr:to>
      <xdr:col>43</xdr:col>
      <xdr:colOff>404948</xdr:colOff>
      <xdr:row>48</xdr:row>
      <xdr:rowOff>20660</xdr:rowOff>
    </xdr:to>
    <xdr:graphicFrame macro="">
      <xdr:nvGraphicFramePr>
        <xdr:cNvPr id="9" name="Graphique 11">
          <a:extLst>
            <a:ext uri="{FF2B5EF4-FFF2-40B4-BE49-F238E27FC236}">
              <a16:creationId xmlns:a16="http://schemas.microsoft.com/office/drawing/2014/main" id="{2BA7A09F-786E-46B1-B584-2D5DAEF728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35</xdr:col>
      <xdr:colOff>336431</xdr:colOff>
      <xdr:row>47</xdr:row>
      <xdr:rowOff>68077</xdr:rowOff>
    </xdr:from>
    <xdr:to>
      <xdr:col>43</xdr:col>
      <xdr:colOff>411184</xdr:colOff>
      <xdr:row>58</xdr:row>
      <xdr:rowOff>132577</xdr:rowOff>
    </xdr:to>
    <xdr:graphicFrame macro="">
      <xdr:nvGraphicFramePr>
        <xdr:cNvPr id="11" name="Graphique 13">
          <a:extLst>
            <a:ext uri="{FF2B5EF4-FFF2-40B4-BE49-F238E27FC236}">
              <a16:creationId xmlns:a16="http://schemas.microsoft.com/office/drawing/2014/main" id="{E29795FD-5728-4DD1-BA97-A652DB4B40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310489</xdr:colOff>
      <xdr:row>39</xdr:row>
      <xdr:rowOff>186929</xdr:rowOff>
    </xdr:from>
    <xdr:to>
      <xdr:col>35</xdr:col>
      <xdr:colOff>299357</xdr:colOff>
      <xdr:row>48</xdr:row>
      <xdr:rowOff>96486</xdr:rowOff>
    </xdr:to>
    <xdr:graphicFrame macro="">
      <xdr:nvGraphicFramePr>
        <xdr:cNvPr id="17" name="Graphique 14">
          <a:extLst>
            <a:ext uri="{FF2B5EF4-FFF2-40B4-BE49-F238E27FC236}">
              <a16:creationId xmlns:a16="http://schemas.microsoft.com/office/drawing/2014/main" id="{9A9AACBD-56B7-46F3-99B7-82EA2342A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27</xdr:col>
      <xdr:colOff>308014</xdr:colOff>
      <xdr:row>47</xdr:row>
      <xdr:rowOff>60534</xdr:rowOff>
    </xdr:from>
    <xdr:to>
      <xdr:col>35</xdr:col>
      <xdr:colOff>340179</xdr:colOff>
      <xdr:row>58</xdr:row>
      <xdr:rowOff>125034</xdr:rowOff>
    </xdr:to>
    <xdr:graphicFrame macro="">
      <xdr:nvGraphicFramePr>
        <xdr:cNvPr id="18" name="Graphique 15">
          <a:extLst>
            <a:ext uri="{FF2B5EF4-FFF2-40B4-BE49-F238E27FC236}">
              <a16:creationId xmlns:a16="http://schemas.microsoft.com/office/drawing/2014/main" id="{4B1EBBA3-E095-4DB5-BB82-CF2122A13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357188</xdr:colOff>
      <xdr:row>34</xdr:row>
      <xdr:rowOff>19484</xdr:rowOff>
    </xdr:from>
    <xdr:to>
      <xdr:col>26</xdr:col>
      <xdr:colOff>333375</xdr:colOff>
      <xdr:row>59</xdr:row>
      <xdr:rowOff>0</xdr:rowOff>
    </xdr:to>
    <xdr:graphicFrame macro="">
      <xdr:nvGraphicFramePr>
        <xdr:cNvPr id="4" name="Chart 3">
          <a:extLst>
            <a:ext uri="{FF2B5EF4-FFF2-40B4-BE49-F238E27FC236}">
              <a16:creationId xmlns:a16="http://schemas.microsoft.com/office/drawing/2014/main" id="{262AB2F7-01C8-4447-9BD8-E68DE56C2B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33</xdr:col>
      <xdr:colOff>12311</xdr:colOff>
      <xdr:row>6</xdr:row>
      <xdr:rowOff>261939</xdr:rowOff>
    </xdr:from>
    <xdr:to>
      <xdr:col>43</xdr:col>
      <xdr:colOff>435120</xdr:colOff>
      <xdr:row>28</xdr:row>
      <xdr:rowOff>309562</xdr:rowOff>
    </xdr:to>
    <xdr:graphicFrame macro="">
      <xdr:nvGraphicFramePr>
        <xdr:cNvPr id="5" name="Chart 4">
          <a:extLst>
            <a:ext uri="{FF2B5EF4-FFF2-40B4-BE49-F238E27FC236}">
              <a16:creationId xmlns:a16="http://schemas.microsoft.com/office/drawing/2014/main" id="{EF8C724B-33BB-4D69-B981-707FFDA607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22</xdr:col>
      <xdr:colOff>207818</xdr:colOff>
      <xdr:row>6</xdr:row>
      <xdr:rowOff>179678</xdr:rowOff>
    </xdr:from>
    <xdr:to>
      <xdr:col>33</xdr:col>
      <xdr:colOff>481010</xdr:colOff>
      <xdr:row>28</xdr:row>
      <xdr:rowOff>166687</xdr:rowOff>
    </xdr:to>
    <xdr:graphicFrame macro="">
      <xdr:nvGraphicFramePr>
        <xdr:cNvPr id="7" name="Chart 6">
          <a:extLst>
            <a:ext uri="{FF2B5EF4-FFF2-40B4-BE49-F238E27FC236}">
              <a16:creationId xmlns:a16="http://schemas.microsoft.com/office/drawing/2014/main" id="{F86B0D95-6639-4533-8BC1-9A3C64FBBA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27</xdr:col>
      <xdr:colOff>190500</xdr:colOff>
      <xdr:row>33</xdr:row>
      <xdr:rowOff>65646</xdr:rowOff>
    </xdr:from>
    <xdr:to>
      <xdr:col>35</xdr:col>
      <xdr:colOff>331929</xdr:colOff>
      <xdr:row>39</xdr:row>
      <xdr:rowOff>108858</xdr:rowOff>
    </xdr:to>
    <xdr:graphicFrame macro="">
      <xdr:nvGraphicFramePr>
        <xdr:cNvPr id="27" name="Graphique 12">
          <a:extLst>
            <a:ext uri="{FF2B5EF4-FFF2-40B4-BE49-F238E27FC236}">
              <a16:creationId xmlns:a16="http://schemas.microsoft.com/office/drawing/2014/main" id="{8838BCDA-A0E9-4936-9102-30A5A7DBB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142877</xdr:colOff>
      <xdr:row>1</xdr:row>
      <xdr:rowOff>166688</xdr:rowOff>
    </xdr:from>
    <xdr:to>
      <xdr:col>97</xdr:col>
      <xdr:colOff>690564</xdr:colOff>
      <xdr:row>23</xdr:row>
      <xdr:rowOff>95251</xdr:rowOff>
    </xdr:to>
    <xdr:graphicFrame macro="">
      <xdr:nvGraphicFramePr>
        <xdr:cNvPr id="14" name="Chart 13">
          <a:extLst>
            <a:ext uri="{FF2B5EF4-FFF2-40B4-BE49-F238E27FC236}">
              <a16:creationId xmlns:a16="http://schemas.microsoft.com/office/drawing/2014/main" id="{E6A936A3-2EA9-4548-BD9D-FE3E9FC73D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73</xdr:col>
      <xdr:colOff>785813</xdr:colOff>
      <xdr:row>26</xdr:row>
      <xdr:rowOff>190500</xdr:rowOff>
    </xdr:from>
    <xdr:to>
      <xdr:col>97</xdr:col>
      <xdr:colOff>666750</xdr:colOff>
      <xdr:row>58</xdr:row>
      <xdr:rowOff>119062</xdr:rowOff>
    </xdr:to>
    <xdr:graphicFrame macro="">
      <xdr:nvGraphicFramePr>
        <xdr:cNvPr id="15" name="Chart 14">
          <a:extLst>
            <a:ext uri="{FF2B5EF4-FFF2-40B4-BE49-F238E27FC236}">
              <a16:creationId xmlns:a16="http://schemas.microsoft.com/office/drawing/2014/main" id="{52098920-695A-4BB0-9943-AE57037271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101</xdr:col>
      <xdr:colOff>238124</xdr:colOff>
      <xdr:row>3</xdr:row>
      <xdr:rowOff>71438</xdr:rowOff>
    </xdr:from>
    <xdr:to>
      <xdr:col>115</xdr:col>
      <xdr:colOff>428623</xdr:colOff>
      <xdr:row>25</xdr:row>
      <xdr:rowOff>0</xdr:rowOff>
    </xdr:to>
    <xdr:graphicFrame macro="">
      <xdr:nvGraphicFramePr>
        <xdr:cNvPr id="16" name="Chart 15">
          <a:extLst>
            <a:ext uri="{FF2B5EF4-FFF2-40B4-BE49-F238E27FC236}">
              <a16:creationId xmlns:a16="http://schemas.microsoft.com/office/drawing/2014/main" id="{316E005F-E855-4159-B81E-1A02741EB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233794</xdr:colOff>
      <xdr:row>54</xdr:row>
      <xdr:rowOff>183982</xdr:rowOff>
    </xdr:from>
    <xdr:to>
      <xdr:col>2</xdr:col>
      <xdr:colOff>78950</xdr:colOff>
      <xdr:row>69</xdr:row>
      <xdr:rowOff>69682</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103910</xdr:colOff>
      <xdr:row>54</xdr:row>
      <xdr:rowOff>173182</xdr:rowOff>
    </xdr:from>
    <xdr:to>
      <xdr:col>5</xdr:col>
      <xdr:colOff>866930</xdr:colOff>
      <xdr:row>69</xdr:row>
      <xdr:rowOff>58882</xdr:rowOff>
    </xdr:to>
    <xdr:graphicFrame macro="">
      <xdr:nvGraphicFramePr>
        <xdr:cNvPr id="16" name="Chart 15">
          <a:extLst>
            <a:ext uri="{FF2B5EF4-FFF2-40B4-BE49-F238E27FC236}">
              <a16:creationId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917863</xdr:colOff>
      <xdr:row>54</xdr:row>
      <xdr:rowOff>173182</xdr:rowOff>
    </xdr:from>
    <xdr:to>
      <xdr:col>8</xdr:col>
      <xdr:colOff>953520</xdr:colOff>
      <xdr:row>69</xdr:row>
      <xdr:rowOff>58882</xdr:rowOff>
    </xdr:to>
    <xdr:graphicFrame macro="">
      <xdr:nvGraphicFramePr>
        <xdr:cNvPr id="17" name="Chart 16">
          <a:extLst>
            <a:ext uri="{FF2B5EF4-FFF2-40B4-BE49-F238E27FC236}">
              <a16:creationId xmlns:a16="http://schemas.microsoft.com/office/drawing/2014/main" id="{00000000-0008-0000-08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1004455</xdr:colOff>
      <xdr:row>54</xdr:row>
      <xdr:rowOff>155864</xdr:rowOff>
    </xdr:from>
    <xdr:to>
      <xdr:col>11</xdr:col>
      <xdr:colOff>1040111</xdr:colOff>
      <xdr:row>69</xdr:row>
      <xdr:rowOff>41564</xdr:rowOff>
    </xdr:to>
    <xdr:graphicFrame macro="">
      <xdr:nvGraphicFramePr>
        <xdr:cNvPr id="18" name="Chart 17">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242454</xdr:colOff>
      <xdr:row>69</xdr:row>
      <xdr:rowOff>173182</xdr:rowOff>
    </xdr:from>
    <xdr:to>
      <xdr:col>2</xdr:col>
      <xdr:colOff>87610</xdr:colOff>
      <xdr:row>84</xdr:row>
      <xdr:rowOff>58882</xdr:rowOff>
    </xdr:to>
    <xdr:graphicFrame macro="">
      <xdr:nvGraphicFramePr>
        <xdr:cNvPr id="19" name="Chart 18">
          <a:extLst>
            <a:ext uri="{FF2B5EF4-FFF2-40B4-BE49-F238E27FC236}">
              <a16:creationId xmlns:a16="http://schemas.microsoft.com/office/drawing/2014/main" id="{00000000-0008-0000-08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121226</xdr:colOff>
      <xdr:row>70</xdr:row>
      <xdr:rowOff>1</xdr:rowOff>
    </xdr:from>
    <xdr:to>
      <xdr:col>5</xdr:col>
      <xdr:colOff>884246</xdr:colOff>
      <xdr:row>84</xdr:row>
      <xdr:rowOff>76201</xdr:rowOff>
    </xdr:to>
    <xdr:graphicFrame macro="">
      <xdr:nvGraphicFramePr>
        <xdr:cNvPr id="20" name="Chart 19">
          <a:extLst>
            <a:ext uri="{FF2B5EF4-FFF2-40B4-BE49-F238E27FC236}">
              <a16:creationId xmlns:a16="http://schemas.microsoft.com/office/drawing/2014/main" id="{00000000-0008-0000-08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917864</xdr:colOff>
      <xdr:row>70</xdr:row>
      <xdr:rowOff>1</xdr:rowOff>
    </xdr:from>
    <xdr:to>
      <xdr:col>8</xdr:col>
      <xdr:colOff>953521</xdr:colOff>
      <xdr:row>84</xdr:row>
      <xdr:rowOff>76201</xdr:rowOff>
    </xdr:to>
    <xdr:graphicFrame macro="">
      <xdr:nvGraphicFramePr>
        <xdr:cNvPr id="21" name="Chart 20">
          <a:extLst>
            <a:ext uri="{FF2B5EF4-FFF2-40B4-BE49-F238E27FC236}">
              <a16:creationId xmlns:a16="http://schemas.microsoft.com/office/drawing/2014/main" id="{00000000-0008-0000-08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987137</xdr:colOff>
      <xdr:row>70</xdr:row>
      <xdr:rowOff>1</xdr:rowOff>
    </xdr:from>
    <xdr:to>
      <xdr:col>11</xdr:col>
      <xdr:colOff>1022793</xdr:colOff>
      <xdr:row>84</xdr:row>
      <xdr:rowOff>76201</xdr:rowOff>
    </xdr:to>
    <xdr:graphicFrame macro="">
      <xdr:nvGraphicFramePr>
        <xdr:cNvPr id="22" name="Chart 21">
          <a:extLst>
            <a:ext uri="{FF2B5EF4-FFF2-40B4-BE49-F238E27FC236}">
              <a16:creationId xmlns:a16="http://schemas.microsoft.com/office/drawing/2014/main" id="{00000000-0008-0000-08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225136</xdr:colOff>
      <xdr:row>84</xdr:row>
      <xdr:rowOff>121228</xdr:rowOff>
    </xdr:from>
    <xdr:to>
      <xdr:col>2</xdr:col>
      <xdr:colOff>70292</xdr:colOff>
      <xdr:row>99</xdr:row>
      <xdr:rowOff>6928</xdr:rowOff>
    </xdr:to>
    <xdr:graphicFrame macro="">
      <xdr:nvGraphicFramePr>
        <xdr:cNvPr id="23" name="Chart 22">
          <a:extLst>
            <a:ext uri="{FF2B5EF4-FFF2-40B4-BE49-F238E27FC236}">
              <a16:creationId xmlns:a16="http://schemas.microsoft.com/office/drawing/2014/main" id="{00000000-0008-0000-08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103909</xdr:colOff>
      <xdr:row>84</xdr:row>
      <xdr:rowOff>138546</xdr:rowOff>
    </xdr:from>
    <xdr:to>
      <xdr:col>5</xdr:col>
      <xdr:colOff>866929</xdr:colOff>
      <xdr:row>99</xdr:row>
      <xdr:rowOff>24246</xdr:rowOff>
    </xdr:to>
    <xdr:graphicFrame macro="">
      <xdr:nvGraphicFramePr>
        <xdr:cNvPr id="24" name="Chart 23">
          <a:extLst>
            <a:ext uri="{FF2B5EF4-FFF2-40B4-BE49-F238E27FC236}">
              <a16:creationId xmlns:a16="http://schemas.microsoft.com/office/drawing/2014/main" id="{00000000-0008-0000-08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900545</xdr:colOff>
      <xdr:row>84</xdr:row>
      <xdr:rowOff>155865</xdr:rowOff>
    </xdr:from>
    <xdr:to>
      <xdr:col>8</xdr:col>
      <xdr:colOff>936202</xdr:colOff>
      <xdr:row>99</xdr:row>
      <xdr:rowOff>41565</xdr:rowOff>
    </xdr:to>
    <xdr:graphicFrame macro="">
      <xdr:nvGraphicFramePr>
        <xdr:cNvPr id="25" name="Chart 24">
          <a:extLst>
            <a:ext uri="{FF2B5EF4-FFF2-40B4-BE49-F238E27FC236}">
              <a16:creationId xmlns:a16="http://schemas.microsoft.com/office/drawing/2014/main" id="{00000000-0008-0000-08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952500</xdr:colOff>
      <xdr:row>84</xdr:row>
      <xdr:rowOff>155864</xdr:rowOff>
    </xdr:from>
    <xdr:to>
      <xdr:col>11</xdr:col>
      <xdr:colOff>988156</xdr:colOff>
      <xdr:row>99</xdr:row>
      <xdr:rowOff>41564</xdr:rowOff>
    </xdr:to>
    <xdr:graphicFrame macro="">
      <xdr:nvGraphicFramePr>
        <xdr:cNvPr id="26" name="Chart 25">
          <a:extLst>
            <a:ext uri="{FF2B5EF4-FFF2-40B4-BE49-F238E27FC236}">
              <a16:creationId xmlns:a16="http://schemas.microsoft.com/office/drawing/2014/main" id="{00000000-0008-0000-08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209982</xdr:colOff>
      <xdr:row>99</xdr:row>
      <xdr:rowOff>97415</xdr:rowOff>
    </xdr:from>
    <xdr:to>
      <xdr:col>2</xdr:col>
      <xdr:colOff>52974</xdr:colOff>
      <xdr:row>113</xdr:row>
      <xdr:rowOff>173615</xdr:rowOff>
    </xdr:to>
    <xdr:graphicFrame macro="">
      <xdr:nvGraphicFramePr>
        <xdr:cNvPr id="27" name="Chart 26">
          <a:extLst>
            <a:ext uri="{FF2B5EF4-FFF2-40B4-BE49-F238E27FC236}">
              <a16:creationId xmlns:a16="http://schemas.microsoft.com/office/drawing/2014/main" id="{00000000-0008-0000-08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121227</xdr:colOff>
      <xdr:row>99</xdr:row>
      <xdr:rowOff>103910</xdr:rowOff>
    </xdr:from>
    <xdr:to>
      <xdr:col>5</xdr:col>
      <xdr:colOff>882083</xdr:colOff>
      <xdr:row>113</xdr:row>
      <xdr:rowOff>180110</xdr:rowOff>
    </xdr:to>
    <xdr:graphicFrame macro="">
      <xdr:nvGraphicFramePr>
        <xdr:cNvPr id="28" name="Chart 27">
          <a:extLst>
            <a:ext uri="{FF2B5EF4-FFF2-40B4-BE49-F238E27FC236}">
              <a16:creationId xmlns:a16="http://schemas.microsoft.com/office/drawing/2014/main" id="{00000000-0008-0000-08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935181</xdr:colOff>
      <xdr:row>99</xdr:row>
      <xdr:rowOff>103910</xdr:rowOff>
    </xdr:from>
    <xdr:to>
      <xdr:col>8</xdr:col>
      <xdr:colOff>968674</xdr:colOff>
      <xdr:row>113</xdr:row>
      <xdr:rowOff>180110</xdr:rowOff>
    </xdr:to>
    <xdr:graphicFrame macro="">
      <xdr:nvGraphicFramePr>
        <xdr:cNvPr id="29" name="Chart 28">
          <a:extLst>
            <a:ext uri="{FF2B5EF4-FFF2-40B4-BE49-F238E27FC236}">
              <a16:creationId xmlns:a16="http://schemas.microsoft.com/office/drawing/2014/main" id="{00000000-0008-0000-08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225138</xdr:colOff>
      <xdr:row>114</xdr:row>
      <xdr:rowOff>121229</xdr:rowOff>
    </xdr:from>
    <xdr:to>
      <xdr:col>2</xdr:col>
      <xdr:colOff>68130</xdr:colOff>
      <xdr:row>129</xdr:row>
      <xdr:rowOff>6929</xdr:rowOff>
    </xdr:to>
    <xdr:graphicFrame macro="">
      <xdr:nvGraphicFramePr>
        <xdr:cNvPr id="30" name="Chart 29">
          <a:extLst>
            <a:ext uri="{FF2B5EF4-FFF2-40B4-BE49-F238E27FC236}">
              <a16:creationId xmlns:a16="http://schemas.microsoft.com/office/drawing/2014/main" id="{00000000-0008-0000-08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103909</xdr:colOff>
      <xdr:row>114</xdr:row>
      <xdr:rowOff>121228</xdr:rowOff>
    </xdr:from>
    <xdr:to>
      <xdr:col>5</xdr:col>
      <xdr:colOff>864765</xdr:colOff>
      <xdr:row>129</xdr:row>
      <xdr:rowOff>6928</xdr:rowOff>
    </xdr:to>
    <xdr:graphicFrame macro="">
      <xdr:nvGraphicFramePr>
        <xdr:cNvPr id="31" name="Chart 30">
          <a:extLst>
            <a:ext uri="{FF2B5EF4-FFF2-40B4-BE49-F238E27FC236}">
              <a16:creationId xmlns:a16="http://schemas.microsoft.com/office/drawing/2014/main" id="{00000000-0008-0000-08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917863</xdr:colOff>
      <xdr:row>114</xdr:row>
      <xdr:rowOff>138546</xdr:rowOff>
    </xdr:from>
    <xdr:to>
      <xdr:col>8</xdr:col>
      <xdr:colOff>951356</xdr:colOff>
      <xdr:row>129</xdr:row>
      <xdr:rowOff>24246</xdr:rowOff>
    </xdr:to>
    <xdr:graphicFrame macro="">
      <xdr:nvGraphicFramePr>
        <xdr:cNvPr id="32" name="Chart 31">
          <a:extLst>
            <a:ext uri="{FF2B5EF4-FFF2-40B4-BE49-F238E27FC236}">
              <a16:creationId xmlns:a16="http://schemas.microsoft.com/office/drawing/2014/main" id="{00000000-0008-0000-08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xdr:col>
      <xdr:colOff>1125682</xdr:colOff>
      <xdr:row>114</xdr:row>
      <xdr:rowOff>138546</xdr:rowOff>
    </xdr:from>
    <xdr:to>
      <xdr:col>11</xdr:col>
      <xdr:colOff>1159174</xdr:colOff>
      <xdr:row>129</xdr:row>
      <xdr:rowOff>24246</xdr:rowOff>
    </xdr:to>
    <xdr:graphicFrame macro="">
      <xdr:nvGraphicFramePr>
        <xdr:cNvPr id="33" name="Chart 32">
          <a:extLst>
            <a:ext uri="{FF2B5EF4-FFF2-40B4-BE49-F238E27FC236}">
              <a16:creationId xmlns:a16="http://schemas.microsoft.com/office/drawing/2014/main" id="{00000000-0008-0000-08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225136</xdr:colOff>
      <xdr:row>129</xdr:row>
      <xdr:rowOff>103910</xdr:rowOff>
    </xdr:from>
    <xdr:to>
      <xdr:col>2</xdr:col>
      <xdr:colOff>68128</xdr:colOff>
      <xdr:row>143</xdr:row>
      <xdr:rowOff>180110</xdr:rowOff>
    </xdr:to>
    <xdr:graphicFrame macro="">
      <xdr:nvGraphicFramePr>
        <xdr:cNvPr id="34" name="Chart 33">
          <a:extLst>
            <a:ext uri="{FF2B5EF4-FFF2-40B4-BE49-F238E27FC236}">
              <a16:creationId xmlns:a16="http://schemas.microsoft.com/office/drawing/2014/main" id="{00000000-0008-0000-08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xdr:col>
      <xdr:colOff>121227</xdr:colOff>
      <xdr:row>129</xdr:row>
      <xdr:rowOff>86592</xdr:rowOff>
    </xdr:from>
    <xdr:to>
      <xdr:col>5</xdr:col>
      <xdr:colOff>882083</xdr:colOff>
      <xdr:row>143</xdr:row>
      <xdr:rowOff>162792</xdr:rowOff>
    </xdr:to>
    <xdr:graphicFrame macro="">
      <xdr:nvGraphicFramePr>
        <xdr:cNvPr id="35" name="Chart 34">
          <a:extLst>
            <a:ext uri="{FF2B5EF4-FFF2-40B4-BE49-F238E27FC236}">
              <a16:creationId xmlns:a16="http://schemas.microsoft.com/office/drawing/2014/main" id="{00000000-0008-0000-08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917862</xdr:colOff>
      <xdr:row>129</xdr:row>
      <xdr:rowOff>86592</xdr:rowOff>
    </xdr:from>
    <xdr:to>
      <xdr:col>8</xdr:col>
      <xdr:colOff>951355</xdr:colOff>
      <xdr:row>143</xdr:row>
      <xdr:rowOff>162792</xdr:rowOff>
    </xdr:to>
    <xdr:graphicFrame macro="">
      <xdr:nvGraphicFramePr>
        <xdr:cNvPr id="36" name="Chart 35">
          <a:extLst>
            <a:ext uri="{FF2B5EF4-FFF2-40B4-BE49-F238E27FC236}">
              <a16:creationId xmlns:a16="http://schemas.microsoft.com/office/drawing/2014/main" id="{00000000-0008-0000-08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547408</xdr:colOff>
      <xdr:row>21</xdr:row>
      <xdr:rowOff>67796</xdr:rowOff>
    </xdr:from>
    <xdr:to>
      <xdr:col>14</xdr:col>
      <xdr:colOff>2317</xdr:colOff>
      <xdr:row>29</xdr:row>
      <xdr:rowOff>129749</xdr:rowOff>
    </xdr:to>
    <xdr:pic>
      <xdr:nvPicPr>
        <xdr:cNvPr id="2" name="Picture 39">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3203202" y="4292414"/>
          <a:ext cx="5909497" cy="15859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18636</xdr:colOff>
      <xdr:row>49</xdr:row>
      <xdr:rowOff>2354</xdr:rowOff>
    </xdr:from>
    <xdr:to>
      <xdr:col>9</xdr:col>
      <xdr:colOff>122593</xdr:colOff>
      <xdr:row>64</xdr:row>
      <xdr:rowOff>66261</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0222810" y="8384354"/>
          <a:ext cx="4394348" cy="3492907"/>
        </a:xfrm>
        <a:prstGeom prst="rect">
          <a:avLst/>
        </a:prstGeom>
      </xdr:spPr>
    </xdr:pic>
    <xdr:clientData/>
  </xdr:twoCellAnchor>
</xdr:wsDr>
</file>

<file path=xl/tables/table1.xml><?xml version="1.0" encoding="utf-8"?>
<table xmlns="http://schemas.openxmlformats.org/spreadsheetml/2006/main" id="2" name="Tableau2" displayName="Tableau2" ref="B12:I40" headerRowCount="0" totalsRowShown="0" headerRowDxfId="102" dataDxfId="101" tableBorderDxfId="100">
  <tableColumns count="8">
    <tableColumn id="1" name="Colonne1" headerRowDxfId="99" dataDxfId="98"/>
    <tableColumn id="2" name="Colonne2" headerRowDxfId="97" dataDxfId="96"/>
    <tableColumn id="3" name="Colonne3" headerRowDxfId="95" dataDxfId="94"/>
    <tableColumn id="4" name="Colonne4" headerRowDxfId="93" dataDxfId="92"/>
    <tableColumn id="5" name="Colonne5" headerRowDxfId="91" dataDxfId="90">
      <calculatedColumnFormula>IFERROR(1-('2) Ingresos'!$G13/'2) Ingresos'!$H13),"")</calculatedColumnFormula>
    </tableColumn>
    <tableColumn id="6" name="Colonne6" headerRowDxfId="89" dataDxfId="88"/>
    <tableColumn id="7" name="Colonne7" headerRowDxfId="87" dataDxfId="86"/>
    <tableColumn id="8" name="Colonne8" headerRowDxfId="85" dataDxfId="84">
      <calculatedColumnFormula>IF('2) Ingresos'!$D13*'2) Ingresos'!$E13=0,"",'2) Ingresos'!$D13*'2) Ingresos'!$E13)</calculatedColumnFormula>
    </tableColumn>
  </tableColumns>
  <tableStyleInfo showFirstColumn="0" showLastColumn="0" showRowStripes="1" showColumnStripes="0"/>
</table>
</file>

<file path=xl/tables/table2.xml><?xml version="1.0" encoding="utf-8"?>
<table xmlns="http://schemas.openxmlformats.org/spreadsheetml/2006/main" id="3" name="Tableau3" displayName="Tableau3" ref="B43:I73" headerRowCount="0" totalsRowShown="0" headerRowDxfId="83" dataDxfId="82" tableBorderDxfId="81">
  <tableColumns count="8">
    <tableColumn id="1" name="Colonne1" headerRowDxfId="80" dataDxfId="79"/>
    <tableColumn id="2" name="Colonne2" headerRowDxfId="78" dataDxfId="77"/>
    <tableColumn id="3" name="Colonne3" headerRowDxfId="76" dataDxfId="75"/>
    <tableColumn id="4" name="Colonne4" headerRowDxfId="74" dataDxfId="73"/>
    <tableColumn id="5" name="Colonne5" headerRowDxfId="72" dataDxfId="71">
      <calculatedColumnFormula>IFERROR(1-('2) Ingresos'!$G44/'2) Ingresos'!$H44),"")</calculatedColumnFormula>
    </tableColumn>
    <tableColumn id="6" name="Colonne6" headerRowDxfId="70" dataDxfId="69"/>
    <tableColumn id="7" name="Colonne7" headerRowDxfId="68" dataDxfId="67"/>
    <tableColumn id="8" name="Colonne8" headerRowDxfId="66" dataDxfId="65">
      <calculatedColumnFormula>IF('2) Ingresos'!$D44*'2) Ingresos'!$E44=0,"",'2) Ingresos'!$D44*'2) Ingresos'!$E44)</calculatedColumnFormula>
    </tableColumn>
  </tableColumns>
  <tableStyleInfo showFirstColumn="0" showLastColumn="0" showRowStripes="1" showColumnStripes="0"/>
</table>
</file>

<file path=xl/tables/table3.xml><?xml version="1.0" encoding="utf-8"?>
<table xmlns="http://schemas.openxmlformats.org/spreadsheetml/2006/main" id="4" name="Tableau4" displayName="Tableau4" ref="B76:I93" headerRowCount="0" totalsRowShown="0" headerRowDxfId="64" dataDxfId="63" tableBorderDxfId="62">
  <tableColumns count="8">
    <tableColumn id="1" name="Colonne1" headerRowDxfId="61" dataDxfId="60"/>
    <tableColumn id="2" name="Colonne2" headerRowDxfId="59" dataDxfId="58"/>
    <tableColumn id="3" name="Colonne3" headerRowDxfId="57" dataDxfId="56"/>
    <tableColumn id="4" name="Colonne4" headerRowDxfId="55" dataDxfId="54"/>
    <tableColumn id="5" name="Colonne5" headerRowDxfId="53" dataDxfId="52">
      <calculatedColumnFormula>IFERROR(1-('2) Ingresos'!$G77/'2) Ingresos'!$H77),"")</calculatedColumnFormula>
    </tableColumn>
    <tableColumn id="6" name="Colonne6" headerRowDxfId="51" dataDxfId="50"/>
    <tableColumn id="7" name="Colonne7" headerRowDxfId="49" dataDxfId="48"/>
    <tableColumn id="8" name="Colonne8" headerRowDxfId="47" dataDxfId="46">
      <calculatedColumnFormula>IF('2) Ingresos'!$D77*'2) Ingresos'!$E77=0,"",'2) Ingresos'!$D77*'2) Ingresos'!$E77)</calculatedColumnFormula>
    </tableColumn>
  </tableColumns>
  <tableStyleInfo showFirstColumn="0" showLastColumn="0" showRowStripes="1" showColumnStripes="0"/>
</table>
</file>

<file path=xl/tables/table4.xml><?xml version="1.0" encoding="utf-8"?>
<table xmlns="http://schemas.openxmlformats.org/spreadsheetml/2006/main" id="5" name="Tableau5" displayName="Tableau5" ref="B96:I111" headerRowCount="0" totalsRowShown="0" headerRowDxfId="45" dataDxfId="44" tableBorderDxfId="43">
  <tableColumns count="8">
    <tableColumn id="1" name="Colonne1" headerRowDxfId="42" dataDxfId="41"/>
    <tableColumn id="2" name="Colonne2" headerRowDxfId="40" dataDxfId="39"/>
    <tableColumn id="3" name="Colonne3" headerRowDxfId="38" dataDxfId="37"/>
    <tableColumn id="4" name="Colonne4" headerRowDxfId="36" dataDxfId="35"/>
    <tableColumn id="5" name="Colonne5" headerRowDxfId="34" dataDxfId="33">
      <calculatedColumnFormula>IFERROR(1-('2) Ingresos'!$G97/'2) Ingresos'!$H97),"")</calculatedColumnFormula>
    </tableColumn>
    <tableColumn id="6" name="Colonne6" headerRowDxfId="32" dataDxfId="31"/>
    <tableColumn id="7" name="Colonne7" headerRowDxfId="30" dataDxfId="29"/>
    <tableColumn id="8" name="Colonne8" headerRowDxfId="28" dataDxfId="27">
      <calculatedColumnFormula>IF('2) Ingresos'!$D97*'2) Ingresos'!$E97=0,"",'2) Ingresos'!$D97*'2) Ingresos'!$E97)</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7" tint="0.39997558519241921"/>
  </sheetPr>
  <dimension ref="A1:E22"/>
  <sheetViews>
    <sheetView tabSelected="1" zoomScale="60" zoomScaleNormal="60" workbookViewId="0">
      <selection activeCell="C2" sqref="C2"/>
    </sheetView>
  </sheetViews>
  <sheetFormatPr defaultColWidth="0" defaultRowHeight="14.5" zeroHeight="1" x14ac:dyDescent="0.35"/>
  <cols>
    <col min="1" max="1" width="9.7265625" style="299" customWidth="1"/>
    <col min="2" max="2" width="30.54296875" style="299" customWidth="1"/>
    <col min="3" max="3" width="29.54296875" style="300" customWidth="1"/>
    <col min="4" max="4" width="178.54296875" style="299" bestFit="1" customWidth="1"/>
    <col min="5" max="5" width="8.81640625" style="299" customWidth="1"/>
    <col min="6" max="16384" width="8.81640625" style="299" hidden="1"/>
  </cols>
  <sheetData>
    <row r="1" spans="1:5" ht="15" thickBot="1" x14ac:dyDescent="0.4"/>
    <row r="2" spans="1:5" s="301" customFormat="1" ht="52.5" customHeight="1" thickBot="1" x14ac:dyDescent="0.4">
      <c r="A2" s="299"/>
      <c r="B2" s="803" t="str">
        <f>Language!A2</f>
        <v>Idioma</v>
      </c>
      <c r="C2" s="287" t="s">
        <v>792</v>
      </c>
      <c r="E2" s="299"/>
    </row>
    <row r="3" spans="1:5" s="301" customFormat="1" x14ac:dyDescent="0.35">
      <c r="A3" s="299"/>
      <c r="B3" s="810" t="str">
        <f>Language!A3</f>
        <v>Nota: si cambia el idioma después de rellenar el modelo, chequear las listas de selección - el idioma no cambia automáticamente allí y puede afectar los cálculos</v>
      </c>
      <c r="C3" s="810"/>
      <c r="D3" s="299"/>
      <c r="E3" s="299"/>
    </row>
    <row r="4" spans="1:5" s="301" customFormat="1" ht="30" customHeight="1" thickBot="1" x14ac:dyDescent="0.4">
      <c r="A4" s="299"/>
      <c r="B4" s="811"/>
      <c r="C4" s="811"/>
      <c r="D4" s="299"/>
      <c r="E4" s="299"/>
    </row>
    <row r="5" spans="1:5" s="301" customFormat="1" ht="18.5" x14ac:dyDescent="0.35">
      <c r="A5" s="299"/>
      <c r="B5" s="804" t="str">
        <f>Language!A4</f>
        <v>Moneda</v>
      </c>
      <c r="C5" s="309" t="s">
        <v>1460</v>
      </c>
      <c r="D5" s="299"/>
      <c r="E5" s="299"/>
    </row>
    <row r="6" spans="1:5" s="301" customFormat="1" ht="19" thickBot="1" x14ac:dyDescent="0.4">
      <c r="A6" s="299"/>
      <c r="B6" s="805" t="str">
        <f>Language!A5</f>
        <v>$$$ equivalente a 1 USD</v>
      </c>
      <c r="C6" s="310">
        <v>1</v>
      </c>
      <c r="D6" s="299"/>
      <c r="E6" s="299"/>
    </row>
    <row r="7" spans="1:5" s="301" customFormat="1" ht="33" customHeight="1" x14ac:dyDescent="0.35">
      <c r="A7" s="299"/>
      <c r="B7" s="810" t="str">
        <f>Language!A6</f>
        <v>Nota: ingresar su moneda y la conversión equivalente a 1 USD</v>
      </c>
      <c r="C7" s="810"/>
      <c r="D7" s="299"/>
      <c r="E7" s="299"/>
    </row>
    <row r="8" spans="1:5" s="301" customFormat="1" ht="15.75" customHeight="1" thickBot="1" x14ac:dyDescent="0.4">
      <c r="A8" s="299"/>
      <c r="B8" s="302">
        <v>44970</v>
      </c>
      <c r="C8" s="303"/>
      <c r="D8" s="299"/>
      <c r="E8" s="299"/>
    </row>
    <row r="9" spans="1:5" s="301" customFormat="1" ht="29" thickBot="1" x14ac:dyDescent="0.4">
      <c r="A9" s="299"/>
      <c r="B9" s="814" t="str">
        <f>Language!A7</f>
        <v>¡Cordial bienvenida a la herramienta de costeo de servicios de gestión de residuos sólidos municipales!</v>
      </c>
      <c r="C9" s="815"/>
      <c r="D9" s="816"/>
      <c r="E9" s="299"/>
    </row>
    <row r="10" spans="1:5" s="301" customFormat="1" ht="30" customHeight="1" thickBot="1" x14ac:dyDescent="0.4">
      <c r="A10" s="299"/>
      <c r="B10" s="817" t="s">
        <v>1697</v>
      </c>
      <c r="C10" s="818"/>
      <c r="D10" s="819"/>
      <c r="E10" s="299"/>
    </row>
    <row r="11" spans="1:5" s="301" customFormat="1" ht="24.75" customHeight="1" x14ac:dyDescent="0.45">
      <c r="A11" s="299"/>
      <c r="B11" s="304"/>
      <c r="C11" s="812" t="str">
        <f>Language!A8</f>
        <v>La herramienta contiene los siguientes elementos:</v>
      </c>
      <c r="D11" s="813"/>
      <c r="E11" s="299"/>
    </row>
    <row r="12" spans="1:5" s="301" customFormat="1" ht="24.75" customHeight="1" x14ac:dyDescent="0.35">
      <c r="A12" s="299"/>
      <c r="B12" s="820" t="s">
        <v>1486</v>
      </c>
      <c r="C12" s="821"/>
      <c r="D12" s="305" t="str">
        <f>Language!A9</f>
        <v>Datos base del sitio de estudio</v>
      </c>
      <c r="E12" s="299"/>
    </row>
    <row r="13" spans="1:5" s="301" customFormat="1" ht="148" x14ac:dyDescent="0.35">
      <c r="A13" s="299"/>
      <c r="B13" s="806" t="s">
        <v>1421</v>
      </c>
      <c r="C13" s="807"/>
      <c r="D13" s="305" t="str">
        <f>Language!A10</f>
        <v>La primera y segunda parte, guía para la evaluación de costos e ingresos reales del servicio de gestión de los residuos sólidos incluyendo:
- Barrido de vías y áreas públicas
- Recolección de residuos sólidos
- Tratamiento/Aprovechamiento de los residuos sólidos (compostaje, reciclaje)
- Disposición final de los residuos sólidos
- Aspectos blandos del servicio (educación, comunicación)
- Gastos administrativos
Se incluyen costos operativos y de mantenimiento (OPEX) y de inversiones (CAPEX)</v>
      </c>
      <c r="E13" s="299"/>
    </row>
    <row r="14" spans="1:5" s="301" customFormat="1" ht="259" x14ac:dyDescent="0.35">
      <c r="A14" s="299"/>
      <c r="B14" s="806" t="s">
        <v>1422</v>
      </c>
      <c r="C14" s="807"/>
      <c r="D14" s="306" t="str">
        <f>Language!A11</f>
        <v>La tercera parte es el ingreso de datos para modelizar los costos del servicio de gestión de los residuos sólidos en función a los escenarios establecidos, incluyendo:
- Recolección puerta a puerta /por acera
- Recolección de parada fija/esquina
- Recolección por contenedores
- Recolección de materiales clasificados en 3 fracciones (desechos, reciclables, orgánicos)
Para cada una de las opciones, se propone una recolección con o sin estación de transferencia
Adicionalmente a los puntos anteriores, el modelo estima costos adicionales:
- Barrido de vías y áreas públicas
- Tratamiento de los residuos sólidos (compostaje, reciclaje)
- Disposición final de los residuos sólidos
- Aspectos blandos del servicio (educación, comunicación)
- Gastos administrativos
Se incluyen costos operativos y de mantenimiento (OPEX) y de inversiones (CAPEX)</v>
      </c>
      <c r="E14" s="299"/>
    </row>
    <row r="15" spans="1:5" s="301" customFormat="1" ht="18.5" x14ac:dyDescent="0.35">
      <c r="A15" s="299"/>
      <c r="B15" s="806" t="s">
        <v>1423</v>
      </c>
      <c r="C15" s="807"/>
      <c r="D15" s="307" t="str">
        <f>Language!A12</f>
        <v>La cuarta parte sirve para visualizar los resultados obtenidos. Incluye resultados de los costos y de indicadores de eficiencia seleccionados.</v>
      </c>
      <c r="E15" s="299"/>
    </row>
    <row r="16" spans="1:5" s="301" customFormat="1" ht="18.5" x14ac:dyDescent="0.35">
      <c r="A16" s="299"/>
      <c r="B16" s="806" t="s">
        <v>1424</v>
      </c>
      <c r="C16" s="807"/>
      <c r="D16" s="307" t="str">
        <f>Language!A13</f>
        <v>La quinta parte muestra todos los cálculos de la modelización</v>
      </c>
      <c r="E16" s="299"/>
    </row>
    <row r="17" spans="1:5" s="301" customFormat="1" ht="37.5" customHeight="1" thickBot="1" x14ac:dyDescent="0.4">
      <c r="A17" s="299"/>
      <c r="B17" s="808" t="s">
        <v>1568</v>
      </c>
      <c r="C17" s="809"/>
      <c r="D17" s="308" t="str">
        <f>Language!A14</f>
        <v>La sexta parte contiene la totalidad de los indicadores de eficiencia calculados e información adicional.</v>
      </c>
      <c r="E17" s="299"/>
    </row>
    <row r="18" spans="1:5" s="301" customFormat="1" x14ac:dyDescent="0.35">
      <c r="A18" s="299"/>
      <c r="B18" s="299"/>
      <c r="C18" s="300"/>
      <c r="D18" s="299"/>
      <c r="E18" s="299"/>
    </row>
    <row r="19" spans="1:5" x14ac:dyDescent="0.35"/>
    <row r="20" spans="1:5" x14ac:dyDescent="0.35"/>
    <row r="21" spans="1:5" x14ac:dyDescent="0.35"/>
    <row r="22" spans="1:5" x14ac:dyDescent="0.35"/>
  </sheetData>
  <sheetProtection algorithmName="SHA-512" hashValue="e3LjUMSfBJWb1zez9yZm/gWb9wLDHLuiqEFexOUMDsLHsaplUQnijsEq2Nru6bECt7XnT/StCMVT7nwxbjDzDg==" saltValue="IdOtUiUxHA4gAOQKaCD16g==" spinCount="100000" sheet="1" formatCells="0" formatColumns="0" formatRows="0" insertColumns="0" insertRows="0" insertHyperlinks="0" deleteColumns="0" deleteRows="0" sort="0" autoFilter="0" pivotTables="0"/>
  <mergeCells count="11">
    <mergeCell ref="B14:C14"/>
    <mergeCell ref="B15:C15"/>
    <mergeCell ref="B16:C16"/>
    <mergeCell ref="B17:C17"/>
    <mergeCell ref="B3:C4"/>
    <mergeCell ref="C11:D11"/>
    <mergeCell ref="B9:D9"/>
    <mergeCell ref="B10:D10"/>
    <mergeCell ref="B13:C13"/>
    <mergeCell ref="B7:C7"/>
    <mergeCell ref="B12:C12"/>
  </mergeCells>
  <dataValidations count="2">
    <dataValidation type="list" allowBlank="1" showInputMessage="1" showErrorMessage="1" sqref="C2">
      <formula1>"English, Español"</formula1>
    </dataValidation>
    <dataValidation type="decimal" allowBlank="1" showInputMessage="1" showErrorMessage="1" sqref="C6:C7">
      <formula1>0</formula1>
      <formula2>1000000</formula2>
    </dataValidation>
  </dataValidation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7"/>
  <sheetViews>
    <sheetView zoomScale="85" zoomScaleNormal="85" workbookViewId="0">
      <selection sqref="A1:XFD1048576"/>
    </sheetView>
  </sheetViews>
  <sheetFormatPr defaultColWidth="11.453125" defaultRowHeight="14.5" x14ac:dyDescent="0.35"/>
  <cols>
    <col min="1" max="1" width="87.453125" style="1" bestFit="1" customWidth="1"/>
    <col min="2" max="2" width="94.453125" bestFit="1" customWidth="1"/>
    <col min="3" max="3" width="100.7265625" bestFit="1" customWidth="1"/>
  </cols>
  <sheetData>
    <row r="1" spans="1:3" x14ac:dyDescent="0.35">
      <c r="A1" s="1" t="str">
        <f>Info!C2</f>
        <v>Español</v>
      </c>
      <c r="B1" t="s">
        <v>790</v>
      </c>
      <c r="C1" t="s">
        <v>792</v>
      </c>
    </row>
    <row r="2" spans="1:3" x14ac:dyDescent="0.35">
      <c r="A2" s="1" t="str">
        <f t="shared" ref="A2:A65" si="0">HLOOKUP($A$1,B:K,ROW(A2),0)</f>
        <v>Idioma</v>
      </c>
      <c r="B2" t="s">
        <v>793</v>
      </c>
      <c r="C2" t="s">
        <v>791</v>
      </c>
    </row>
    <row r="3" spans="1:3" ht="29" x14ac:dyDescent="0.35">
      <c r="A3" s="1" t="str">
        <f t="shared" si="0"/>
        <v>Nota: si cambia el idioma después de rellenar el modelo, chequear las listas de selección - el idioma no cambia automáticamente allí y puede afectar los cálculos</v>
      </c>
      <c r="B3" s="1" t="s">
        <v>1492</v>
      </c>
      <c r="C3" s="1" t="s">
        <v>1539</v>
      </c>
    </row>
    <row r="4" spans="1:3" x14ac:dyDescent="0.35">
      <c r="A4" s="1" t="str">
        <f t="shared" si="0"/>
        <v>Moneda</v>
      </c>
      <c r="B4" s="1" t="s">
        <v>1425</v>
      </c>
      <c r="C4" s="1" t="s">
        <v>1426</v>
      </c>
    </row>
    <row r="5" spans="1:3" x14ac:dyDescent="0.35">
      <c r="A5" s="1" t="str">
        <f t="shared" si="0"/>
        <v>$$$ equivalente a 1 USD</v>
      </c>
      <c r="B5" s="1" t="str">
        <f>_xlfn.CONCAT( Info!C5, " equivalent to 1 USD ",)</f>
        <v xml:space="preserve">$$$ equivalent to 1 USD </v>
      </c>
      <c r="C5" s="1" t="str">
        <f>_xlfn.CONCAT( Info!C5, " equivalente a 1 USD")</f>
        <v>$$$ equivalente a 1 USD</v>
      </c>
    </row>
    <row r="6" spans="1:3" x14ac:dyDescent="0.35">
      <c r="A6" s="1" t="str">
        <f t="shared" si="0"/>
        <v>Nota: ingresar su moneda y la conversión equivalente a 1 USD</v>
      </c>
      <c r="B6" s="1" t="s">
        <v>1493</v>
      </c>
      <c r="C6" s="1" t="s">
        <v>1540</v>
      </c>
    </row>
    <row r="7" spans="1:3" ht="29" x14ac:dyDescent="0.35">
      <c r="A7" s="1" t="str">
        <f t="shared" si="0"/>
        <v>¡Cordial bienvenida a la herramienta de costeo de servicios de gestión de residuos sólidos municipales!</v>
      </c>
      <c r="B7" t="s">
        <v>1399</v>
      </c>
      <c r="C7" t="s">
        <v>210</v>
      </c>
    </row>
    <row r="8" spans="1:3" x14ac:dyDescent="0.35">
      <c r="A8" s="1" t="str">
        <f t="shared" si="0"/>
        <v>La herramienta contiene los siguientes elementos:</v>
      </c>
      <c r="B8" t="s">
        <v>794</v>
      </c>
      <c r="C8" t="s">
        <v>211</v>
      </c>
    </row>
    <row r="9" spans="1:3" x14ac:dyDescent="0.35">
      <c r="A9" s="1" t="str">
        <f t="shared" si="0"/>
        <v>Datos base del sitio de estudio</v>
      </c>
      <c r="B9" s="1" t="s">
        <v>1487</v>
      </c>
      <c r="C9" s="1" t="s">
        <v>1488</v>
      </c>
    </row>
    <row r="10" spans="1:3" ht="130.5" x14ac:dyDescent="0.35">
      <c r="A10" s="1" t="str">
        <f t="shared" si="0"/>
        <v>La primera y segunda parte, guía para la evaluación de costos e ingresos reales del servicio de gestión de los residuos sólidos incluyendo:
- Barrido de vías y áreas públicas
- Recolección de residuos sólidos
- Tratamiento/Aprovechamiento de los residuos sólidos (compostaje, reciclaje)
- Disposición final de los residuos sólidos
- Aspectos blandos del servicio (educación, comunicación)
- Gastos administrativos
Se incluyen costos operativos y de mantenimiento (OPEX) y de inversiones (CAPEX)</v>
      </c>
      <c r="B10" s="1" t="s">
        <v>1494</v>
      </c>
      <c r="C10" s="1" t="s">
        <v>1541</v>
      </c>
    </row>
    <row r="11" spans="1:3" ht="217.5" x14ac:dyDescent="0.35">
      <c r="A11" s="1" t="str">
        <f t="shared" si="0"/>
        <v>La tercera parte es el ingreso de datos para modelizar los costos del servicio de gestión de los residuos sólidos en función a los escenarios establecidos, incluyendo:
- Recolección puerta a puerta /por acera
- Recolección de parada fija/esquina
- Recolección por contenedores
- Recolección de materiales clasificados en 3 fracciones (desechos, reciclables, orgánicos)
Para cada una de las opciones, se propone una recolección con o sin estación de transferencia
Adicionalmente a los puntos anteriores, el modelo estima costos adicionales:
- Barrido de vías y áreas públicas
- Tratamiento de los residuos sólidos (compostaje, reciclaje)
- Disposición final de los residuos sólidos
- Aspectos blandos del servicio (educación, comunicación)
- Gastos administrativos
Se incluyen costos operativos y de mantenimiento (OPEX) y de inversiones (CAPEX)</v>
      </c>
      <c r="B11" s="1" t="s">
        <v>1663</v>
      </c>
      <c r="C11" s="1" t="s">
        <v>1542</v>
      </c>
    </row>
    <row r="12" spans="1:3" ht="29" x14ac:dyDescent="0.35">
      <c r="A12" s="1" t="str">
        <f t="shared" si="0"/>
        <v>La cuarta parte sirve para visualizar los resultados obtenidos. Incluye resultados de los costos y de indicadores de eficiencia seleccionados.</v>
      </c>
      <c r="B12" s="1" t="s">
        <v>1418</v>
      </c>
      <c r="C12" s="1" t="s">
        <v>1543</v>
      </c>
    </row>
    <row r="13" spans="1:3" x14ac:dyDescent="0.35">
      <c r="A13" s="1" t="str">
        <f t="shared" si="0"/>
        <v>La quinta parte muestra todos los cálculos de la modelización</v>
      </c>
      <c r="B13" s="1" t="s">
        <v>1420</v>
      </c>
      <c r="C13" s="1" t="s">
        <v>1544</v>
      </c>
    </row>
    <row r="14" spans="1:3" x14ac:dyDescent="0.35">
      <c r="A14" s="1" t="str">
        <f t="shared" si="0"/>
        <v>La sexta parte contiene la totalidad de los indicadores de eficiencia calculados e información adicional.</v>
      </c>
      <c r="B14" s="1" t="s">
        <v>1419</v>
      </c>
      <c r="C14" s="1" t="s">
        <v>1545</v>
      </c>
    </row>
    <row r="15" spans="1:3" ht="87" x14ac:dyDescent="0.35">
      <c r="A15" s="1" t="str">
        <f t="shared" si="0"/>
        <v>Indicaciones de uso:
Ingresar y completar información en las casillas de fondo blanco.
Son 4 cuadros: 1) Prestación de servicio, 2) Administración, 3) Planificación y fiscalización, 4) Educación y comunicación
Si necesario, modificar títulos de líneas. Los valores actualmente ingresados son ficticios y se deben de modificar. Las líneas de muestra no son exhaustivas, ingresar lo faltante.</v>
      </c>
      <c r="B15" s="1" t="s">
        <v>1495</v>
      </c>
      <c r="C15" s="1" t="s">
        <v>1546</v>
      </c>
    </row>
    <row r="16" spans="1:3" x14ac:dyDescent="0.35">
      <c r="A16" s="1" t="str">
        <f t="shared" si="0"/>
        <v>Ingreso de costos del servicio de gestión de los residuos sólidos</v>
      </c>
      <c r="B16" s="1" t="s">
        <v>883</v>
      </c>
      <c r="C16" s="1" t="s">
        <v>882</v>
      </c>
    </row>
    <row r="17" spans="1:3" x14ac:dyDescent="0.35">
      <c r="A17" s="1" t="str">
        <f t="shared" si="0"/>
        <v>Prestación del servicio</v>
      </c>
      <c r="B17" s="1" t="s">
        <v>795</v>
      </c>
      <c r="C17" s="1" t="s">
        <v>124</v>
      </c>
    </row>
    <row r="18" spans="1:3" x14ac:dyDescent="0.35">
      <c r="A18" s="1" t="str">
        <f t="shared" si="0"/>
        <v>Personal</v>
      </c>
      <c r="B18" s="1" t="s">
        <v>796</v>
      </c>
      <c r="C18" s="1" t="s">
        <v>14</v>
      </c>
    </row>
    <row r="19" spans="1:3" x14ac:dyDescent="0.35">
      <c r="A19" s="1" t="str">
        <f t="shared" si="0"/>
        <v>Cantidad de personas empleadas en cargo específico</v>
      </c>
      <c r="B19" s="1" t="s">
        <v>797</v>
      </c>
      <c r="C19" t="s">
        <v>123</v>
      </c>
    </row>
    <row r="20" spans="1:3" x14ac:dyDescent="0.35">
      <c r="A20" s="1" t="str">
        <f t="shared" si="0"/>
        <v>Dedicación a la prestación del servicio de gestión de los residuos sólidos [%]</v>
      </c>
      <c r="B20" s="1" t="s">
        <v>798</v>
      </c>
      <c r="C20" t="s">
        <v>1547</v>
      </c>
    </row>
    <row r="21" spans="1:3" x14ac:dyDescent="0.35">
      <c r="A21" s="1" t="str">
        <f t="shared" si="0"/>
        <v>Salario anual [$$$/año]</v>
      </c>
      <c r="B21" s="1" t="str">
        <f>_xlfn.CONCAT("Annual salary [",Info!C5,"/year]")</f>
        <v>Annual salary [$$$/year]</v>
      </c>
      <c r="C21" t="str">
        <f>_xlfn.CONCAT("Salario anual [",Info!C5,"/año]")</f>
        <v>Salario anual [$$$/año]</v>
      </c>
    </row>
    <row r="22" spans="1:3" x14ac:dyDescent="0.35">
      <c r="A22" s="1" t="str">
        <f t="shared" si="0"/>
        <v>Beneficios sociales y seguros [$$$/año]</v>
      </c>
      <c r="B22" s="1" t="str">
        <f>_xlfn.CONCAT("Social benefits and insurance costs [",Info!C5,"/year]")</f>
        <v>Social benefits and insurance costs [$$$/year]</v>
      </c>
      <c r="C22" t="str">
        <f>_xlfn.CONCAT("Beneficios sociales y seguros [",Info!C5,"/año]")</f>
        <v>Beneficios sociales y seguros [$$$/año]</v>
      </c>
    </row>
    <row r="23" spans="1:3" x14ac:dyDescent="0.35">
      <c r="A23" s="1" t="str">
        <f t="shared" si="0"/>
        <v>Costo total por año [$$$/año]</v>
      </c>
      <c r="B23" s="1" t="str">
        <f>_xlfn.CONCAT("Total cost per year [",Info!C5,"/year]")</f>
        <v>Total cost per year [$$$/year]</v>
      </c>
      <c r="C23" t="str">
        <f>_xlfn.CONCAT("Costo total por año [",Info!C5,"/año]")</f>
        <v>Costo total por año [$$$/año]</v>
      </c>
    </row>
    <row r="24" spans="1:3" x14ac:dyDescent="0.35">
      <c r="A24" s="1" t="str">
        <f t="shared" si="0"/>
        <v>Barrido de vías y áreas públicas</v>
      </c>
      <c r="B24" s="1" t="s">
        <v>799</v>
      </c>
      <c r="C24" t="s">
        <v>1548</v>
      </c>
    </row>
    <row r="25" spans="1:3" x14ac:dyDescent="0.35">
      <c r="A25" s="1" t="str">
        <f t="shared" si="0"/>
        <v>Taller de mantenimiento</v>
      </c>
      <c r="B25" s="1" t="s">
        <v>800</v>
      </c>
      <c r="C25" t="s">
        <v>664</v>
      </c>
    </row>
    <row r="26" spans="1:3" x14ac:dyDescent="0.35">
      <c r="A26" s="1" t="str">
        <f t="shared" si="0"/>
        <v>Servicio de recolección</v>
      </c>
      <c r="B26" s="1" t="s">
        <v>801</v>
      </c>
      <c r="C26" t="s">
        <v>126</v>
      </c>
    </row>
    <row r="27" spans="1:3" x14ac:dyDescent="0.35">
      <c r="A27" s="1" t="str">
        <f t="shared" si="0"/>
        <v>Planta de reciclaje</v>
      </c>
      <c r="B27" s="1" t="s">
        <v>803</v>
      </c>
      <c r="C27" t="s">
        <v>670</v>
      </c>
    </row>
    <row r="28" spans="1:3" x14ac:dyDescent="0.35">
      <c r="A28" s="1" t="str">
        <f t="shared" si="0"/>
        <v>Planta de compostaje</v>
      </c>
      <c r="B28" s="1" t="s">
        <v>802</v>
      </c>
      <c r="C28" t="s">
        <v>128</v>
      </c>
    </row>
    <row r="29" spans="1:3" x14ac:dyDescent="0.35">
      <c r="A29" s="1" t="str">
        <f t="shared" si="0"/>
        <v>Estación de transferencia y transporte</v>
      </c>
      <c r="B29" s="1" t="s">
        <v>804</v>
      </c>
      <c r="C29" t="s">
        <v>379</v>
      </c>
    </row>
    <row r="30" spans="1:3" x14ac:dyDescent="0.35">
      <c r="A30" s="1" t="str">
        <f t="shared" si="0"/>
        <v>Disposición final</v>
      </c>
      <c r="B30" s="1" t="s">
        <v>805</v>
      </c>
      <c r="C30" t="s">
        <v>599</v>
      </c>
    </row>
    <row r="31" spans="1:3" ht="29" x14ac:dyDescent="0.35">
      <c r="A31" s="1" t="str">
        <f t="shared" si="0"/>
        <v>Los costos de maestranza se distribuyen de forma proporcional al costo de los vehículos por servicio</v>
      </c>
      <c r="B31" s="1" t="s">
        <v>1398</v>
      </c>
      <c r="C31" t="s">
        <v>1549</v>
      </c>
    </row>
    <row r="32" spans="1:3" x14ac:dyDescent="0.35">
      <c r="A32" s="1" t="str">
        <f t="shared" si="0"/>
        <v>Vehículos</v>
      </c>
      <c r="B32" s="1" t="s">
        <v>806</v>
      </c>
      <c r="C32" t="s">
        <v>1550</v>
      </c>
    </row>
    <row r="33" spans="1:3" x14ac:dyDescent="0.35">
      <c r="A33" s="1" t="str">
        <f t="shared" si="0"/>
        <v>Cantidad []</v>
      </c>
      <c r="B33" s="1" t="s">
        <v>807</v>
      </c>
      <c r="C33" t="s">
        <v>127</v>
      </c>
    </row>
    <row r="34" spans="1:3" x14ac:dyDescent="0.35">
      <c r="A34" s="1" t="str">
        <f t="shared" si="0"/>
        <v>Costo unitario [$$$]</v>
      </c>
      <c r="B34" s="1" t="str">
        <f>_xlfn.CONCAT("Unit cost [",Info!C5,"]")</f>
        <v>Unit cost [$$$]</v>
      </c>
      <c r="C34" t="str">
        <f>_xlfn.CONCAT("Costo unitario [",Info!C5,"]")</f>
        <v>Costo unitario [$$$]</v>
      </c>
    </row>
    <row r="35" spans="1:3" x14ac:dyDescent="0.35">
      <c r="A35" s="1" t="str">
        <f t="shared" si="0"/>
        <v>Tasa de interés préstamo [%]</v>
      </c>
      <c r="B35" s="1" t="s">
        <v>808</v>
      </c>
      <c r="C35" t="s">
        <v>1551</v>
      </c>
    </row>
    <row r="36" spans="1:3" x14ac:dyDescent="0.35">
      <c r="A36" s="1" t="str">
        <f t="shared" si="0"/>
        <v>Tiempo de vida [años]</v>
      </c>
      <c r="B36" s="1" t="s">
        <v>809</v>
      </c>
      <c r="C36" t="s">
        <v>132</v>
      </c>
    </row>
    <row r="37" spans="1:3" x14ac:dyDescent="0.35">
      <c r="A37" s="1" t="str">
        <f t="shared" si="0"/>
        <v>Costo unitario por año [$$$/año]</v>
      </c>
      <c r="B37" s="1" t="str">
        <f>_xlfn.CONCAT("Unit cost per year [",Info!C5,"/year]")</f>
        <v>Unit cost per year [$$$/year]</v>
      </c>
      <c r="C37" t="str">
        <f>_xlfn.CONCAT("Costo unitario por año [",Info!C5,"/año]")</f>
        <v>Costo unitario por año [$$$/año]</v>
      </c>
    </row>
    <row r="38" spans="1:3" x14ac:dyDescent="0.35">
      <c r="A38" s="1" t="str">
        <f t="shared" si="0"/>
        <v>Equipo (protección personal, materiales, electrónicos y otros…)</v>
      </c>
      <c r="B38" s="1" t="s">
        <v>810</v>
      </c>
      <c r="C38" s="1" t="s">
        <v>1552</v>
      </c>
    </row>
    <row r="39" spans="1:3" x14ac:dyDescent="0.35">
      <c r="A39" s="1" t="str">
        <f t="shared" si="0"/>
        <v>Infraestructura, diseño y terrenos</v>
      </c>
      <c r="B39" s="1" t="s">
        <v>812</v>
      </c>
      <c r="C39" t="s">
        <v>811</v>
      </c>
    </row>
    <row r="40" spans="1:3" x14ac:dyDescent="0.35">
      <c r="A40" s="1" t="str">
        <f t="shared" si="0"/>
        <v>Operación y mantenimiento</v>
      </c>
      <c r="B40" s="1" t="s">
        <v>814</v>
      </c>
      <c r="C40" t="s">
        <v>813</v>
      </c>
    </row>
    <row r="41" spans="1:3" x14ac:dyDescent="0.35">
      <c r="A41" s="1" t="str">
        <f t="shared" si="0"/>
        <v>Administración del servicio</v>
      </c>
      <c r="B41" s="1" t="s">
        <v>815</v>
      </c>
      <c r="C41" t="s">
        <v>214</v>
      </c>
    </row>
    <row r="42" spans="1:3" x14ac:dyDescent="0.35">
      <c r="A42" s="1" t="str">
        <f t="shared" si="0"/>
        <v>Planificación y fiscalización del servicio</v>
      </c>
      <c r="B42" s="1" t="s">
        <v>816</v>
      </c>
      <c r="C42" t="s">
        <v>135</v>
      </c>
    </row>
    <row r="43" spans="1:3" ht="29" x14ac:dyDescent="0.35">
      <c r="A43" s="1" t="str">
        <f t="shared" si="0"/>
        <v>En el caso del costo de educación y comunicación, se propone calcularlo con el detalle o con un porcentaje de los costos totales</v>
      </c>
      <c r="B43" s="1" t="s">
        <v>1496</v>
      </c>
      <c r="C43" s="1" t="s">
        <v>817</v>
      </c>
    </row>
    <row r="44" spans="1:3" ht="29" x14ac:dyDescent="0.35">
      <c r="A44" s="1" t="str">
        <f t="shared" si="0"/>
        <v>¿Calcular con un porcentaje de los costos totales?
En caso de que sí, el detalle del cuadro siguiente no se considerara en los totales.</v>
      </c>
      <c r="B44" s="1" t="s">
        <v>1497</v>
      </c>
      <c r="C44" s="1" t="s">
        <v>1570</v>
      </c>
    </row>
    <row r="45" spans="1:3" x14ac:dyDescent="0.35">
      <c r="A45" s="1" t="str">
        <f t="shared" si="0"/>
        <v>No</v>
      </c>
      <c r="B45" s="1" t="s">
        <v>101</v>
      </c>
      <c r="C45" t="s">
        <v>101</v>
      </c>
    </row>
    <row r="46" spans="1:3" x14ac:dyDescent="0.35">
      <c r="A46" s="1" t="str">
        <f t="shared" si="0"/>
        <v>Si</v>
      </c>
      <c r="B46" s="1" t="s">
        <v>818</v>
      </c>
      <c r="C46" t="s">
        <v>100</v>
      </c>
    </row>
    <row r="47" spans="1:3" x14ac:dyDescent="0.35">
      <c r="A47" s="1" t="str">
        <f t="shared" si="0"/>
        <v>Porcentaje aplicado [%]</v>
      </c>
      <c r="B47" s="1" t="s">
        <v>819</v>
      </c>
      <c r="C47" t="s">
        <v>144</v>
      </c>
    </row>
    <row r="48" spans="1:3" x14ac:dyDescent="0.35">
      <c r="A48" s="1" t="str">
        <f t="shared" si="0"/>
        <v>Educación y comunicación</v>
      </c>
      <c r="B48" s="1" t="s">
        <v>820</v>
      </c>
      <c r="C48" t="s">
        <v>136</v>
      </c>
    </row>
    <row r="49" spans="1:3" x14ac:dyDescent="0.35">
      <c r="A49" s="1" t="str">
        <f t="shared" si="0"/>
        <v>Costos de vehículos por servicio [$$$/año]</v>
      </c>
      <c r="B49" s="1" t="str">
        <f>_xlfn.CONCAT("Vehicles costs per service per year [",Info!C5,"/year]")</f>
        <v>Vehicles costs per service per year [$$$/year]</v>
      </c>
      <c r="C49" t="str">
        <f>CONCATENATE("Costos de vehículos por servicio [",Info!C5,"/año]")</f>
        <v>Costos de vehículos por servicio [$$$/año]</v>
      </c>
    </row>
    <row r="50" spans="1:3" ht="101.5" x14ac:dyDescent="0.35">
      <c r="A50" s="1" t="str">
        <f t="shared" si="0"/>
        <v>Indicaciones de uso:
Se da la posibilidad de ingresar datos de varios años. En caso se usen datos de varios años, tomar nota que el modelo divide los montos totales por la cantidad de años diferentes ingresados para realizar promedios de montos cobrados y facturados.
Por favor utilizar información completa para cada año ingresado.
Si solamente se tiene información para un año entonces utilizar solamente un año.</v>
      </c>
      <c r="B50" s="143" t="s">
        <v>821</v>
      </c>
      <c r="C50" s="1" t="s">
        <v>1553</v>
      </c>
    </row>
    <row r="51" spans="1:3" ht="58" x14ac:dyDescent="0.35">
      <c r="A51" s="1" t="str">
        <f t="shared" si="0"/>
        <v>Indicaciones de uso:
Monto facturado: una facturación fue emitida y entregada
Monto cobrado: el pago fue realizado y contabilizado</v>
      </c>
      <c r="B51" s="1" t="s">
        <v>823</v>
      </c>
      <c r="C51" s="1" t="s">
        <v>822</v>
      </c>
    </row>
    <row r="52" spans="1:3" x14ac:dyDescent="0.35">
      <c r="A52" s="1" t="str">
        <f t="shared" si="0"/>
        <v>Ingreso de ingresos del servicio de gestión de residuos sólidos</v>
      </c>
      <c r="B52" s="1" t="s">
        <v>885</v>
      </c>
      <c r="C52" t="s">
        <v>884</v>
      </c>
    </row>
    <row r="53" spans="1:3" x14ac:dyDescent="0.35">
      <c r="A53" s="1" t="str">
        <f t="shared" si="0"/>
        <v>Facturaciones domiciliares</v>
      </c>
      <c r="B53" s="1" t="s">
        <v>824</v>
      </c>
      <c r="C53" t="s">
        <v>603</v>
      </c>
    </row>
    <row r="54" spans="1:3" x14ac:dyDescent="0.35">
      <c r="A54" s="1" t="str">
        <f t="shared" si="0"/>
        <v>Descripción</v>
      </c>
      <c r="B54" s="1" t="s">
        <v>825</v>
      </c>
      <c r="C54" t="s">
        <v>373</v>
      </c>
    </row>
    <row r="55" spans="1:3" x14ac:dyDescent="0.35">
      <c r="A55" s="1" t="str">
        <f t="shared" si="0"/>
        <v>Año</v>
      </c>
      <c r="B55" s="1" t="s">
        <v>827</v>
      </c>
      <c r="C55" t="s">
        <v>826</v>
      </c>
    </row>
    <row r="56" spans="1:3" x14ac:dyDescent="0.35">
      <c r="A56" s="1" t="str">
        <f t="shared" si="0"/>
        <v>Unidades</v>
      </c>
      <c r="B56" s="1" t="s">
        <v>828</v>
      </c>
      <c r="C56" t="s">
        <v>789</v>
      </c>
    </row>
    <row r="57" spans="1:3" x14ac:dyDescent="0.35">
      <c r="A57" s="1" t="str">
        <f t="shared" si="0"/>
        <v>Monto facturado por unidad [$$$/año]</v>
      </c>
      <c r="B57" s="1" t="str">
        <f>_xlfn.CONCAT("Billed amount per unit [",Info!C5,"/year]")</f>
        <v>Billed amount per unit [$$$/year]</v>
      </c>
      <c r="C57" t="str">
        <f>_xlfn.CONCAT("Monto facturado por unidad [",Info!C5,"/año]")</f>
        <v>Monto facturado por unidad [$$$/año]</v>
      </c>
    </row>
    <row r="58" spans="1:3" x14ac:dyDescent="0.35">
      <c r="A58" s="1" t="str">
        <f t="shared" si="0"/>
        <v>Morosidad [%]</v>
      </c>
      <c r="B58" s="1" t="s">
        <v>829</v>
      </c>
      <c r="C58" t="s">
        <v>374</v>
      </c>
    </row>
    <row r="59" spans="1:3" x14ac:dyDescent="0.35">
      <c r="A59" s="1" t="str">
        <f t="shared" si="0"/>
        <v>Monto total recibido por año [$$$/año]</v>
      </c>
      <c r="B59" s="1" t="str">
        <f>CONCATENATE("Total amount received per year [",Info!C5,"/year]")</f>
        <v>Total amount received per year [$$$/year]</v>
      </c>
      <c r="C59" t="str">
        <f>_xlfn.CONCAT("Monto total recibido por año [",Info!C5,"/año]")</f>
        <v>Monto total recibido por año [$$$/año]</v>
      </c>
    </row>
    <row r="60" spans="1:3" x14ac:dyDescent="0.35">
      <c r="A60" s="1" t="str">
        <f t="shared" si="0"/>
        <v>Monto total facturado [$$$/año]</v>
      </c>
      <c r="B60" s="1" t="str">
        <f>_xlfn.CONCAT("Total billed amount per year [",Info!C5,"/year]")</f>
        <v>Total billed amount per year [$$$/year]</v>
      </c>
      <c r="C60" t="str">
        <f>_xlfn.CONCAT("Monto total facturado [",Info!C5,"/año]")</f>
        <v>Monto total facturado [$$$/año]</v>
      </c>
    </row>
    <row r="61" spans="1:3" ht="29" x14ac:dyDescent="0.35">
      <c r="A61" s="1" t="str">
        <f t="shared" si="0"/>
        <v>Monto total facturado calculado [$$$/año]
para control cruzado</v>
      </c>
      <c r="B61" s="1" t="str">
        <f>_xlfn.CONCAT("Calculated total billed amount per year [",Info!C5,"/year]
for cross checking")</f>
        <v>Calculated total billed amount per year [$$$/year]
for cross checking</v>
      </c>
      <c r="C61" s="1" t="str">
        <f>_xlfn.CONCAT("Monto total facturado calculado [",Info!C5,"/año]
para control cruzado")</f>
        <v>Monto total facturado calculado [$$$/año]
para control cruzado</v>
      </c>
    </row>
    <row r="62" spans="1:3" x14ac:dyDescent="0.35">
      <c r="A62" s="1" t="str">
        <f t="shared" si="0"/>
        <v>Facturaciones no domiciliares</v>
      </c>
      <c r="B62" s="1" t="s">
        <v>830</v>
      </c>
      <c r="C62" t="s">
        <v>604</v>
      </c>
    </row>
    <row r="63" spans="1:3" x14ac:dyDescent="0.35">
      <c r="A63" s="1" t="str">
        <f t="shared" si="0"/>
        <v>Ingresos por convenios</v>
      </c>
      <c r="B63" s="1" t="s">
        <v>832</v>
      </c>
      <c r="C63" t="s">
        <v>831</v>
      </c>
    </row>
    <row r="64" spans="1:3" x14ac:dyDescent="0.35">
      <c r="A64" s="1" t="str">
        <f t="shared" si="0"/>
        <v>Otros ingresos</v>
      </c>
      <c r="B64" s="1" t="s">
        <v>833</v>
      </c>
      <c r="C64" t="s">
        <v>605</v>
      </c>
    </row>
    <row r="65" spans="1:3" x14ac:dyDescent="0.35">
      <c r="A65" s="1" t="str">
        <f t="shared" si="0"/>
        <v>Total</v>
      </c>
      <c r="B65" s="1" t="s">
        <v>376</v>
      </c>
      <c r="C65" t="s">
        <v>376</v>
      </c>
    </row>
    <row r="66" spans="1:3" x14ac:dyDescent="0.35">
      <c r="A66" s="1" t="str">
        <f t="shared" ref="A66:A129" si="1">HLOOKUP($A$1,B:K,ROW(A66),0)</f>
        <v>Promedio anual</v>
      </c>
      <c r="B66" s="1" t="s">
        <v>834</v>
      </c>
      <c r="C66" t="s">
        <v>578</v>
      </c>
    </row>
    <row r="67" spans="1:3" x14ac:dyDescent="0.35">
      <c r="A67" s="1" t="str">
        <f t="shared" si="1"/>
        <v>Fotografía del estado actual de la gestión de los residuos sólidos</v>
      </c>
      <c r="B67" s="1" t="s">
        <v>835</v>
      </c>
      <c r="C67" t="s">
        <v>1554</v>
      </c>
    </row>
    <row r="68" spans="1:3" ht="29" x14ac:dyDescent="0.35">
      <c r="A68" s="1" t="str">
        <f t="shared" si="1"/>
        <v>Indicaciones de uso:
Completar información de cada celda en blanco - si no conocidos, algunos resultados no aparecerán</v>
      </c>
      <c r="B68" s="1" t="s">
        <v>1489</v>
      </c>
      <c r="C68" s="1" t="s">
        <v>1555</v>
      </c>
    </row>
    <row r="69" spans="1:3" x14ac:dyDescent="0.35">
      <c r="A69" s="1" t="str">
        <f t="shared" si="1"/>
        <v>Ingreso de datos base</v>
      </c>
      <c r="B69" s="1" t="s">
        <v>1458</v>
      </c>
      <c r="C69" t="s">
        <v>1459</v>
      </c>
    </row>
    <row r="70" spans="1:3" x14ac:dyDescent="0.35">
      <c r="A70" s="1" t="str">
        <f t="shared" si="1"/>
        <v>Entidad gestora</v>
      </c>
      <c r="B70" s="1" t="s">
        <v>836</v>
      </c>
      <c r="C70" t="s">
        <v>385</v>
      </c>
    </row>
    <row r="71" spans="1:3" x14ac:dyDescent="0.35">
      <c r="A71" s="1" t="str">
        <f t="shared" si="1"/>
        <v>Ciudad</v>
      </c>
      <c r="B71" s="1" t="s">
        <v>837</v>
      </c>
      <c r="C71" t="s">
        <v>838</v>
      </c>
    </row>
    <row r="72" spans="1:3" x14ac:dyDescent="0.35">
      <c r="A72" s="1" t="str">
        <f t="shared" si="1"/>
        <v>Presupuesto anual [$$$/año]</v>
      </c>
      <c r="B72" s="1" t="str">
        <f>_xlfn.CONCAT("Yearly budget [",Info!C5,"/year]")</f>
        <v>Yearly budget [$$$/year]</v>
      </c>
      <c r="C72" t="str">
        <f>_xlfn.CONCAT("Presupuesto anual [",Info!C5,"/año]")</f>
        <v>Presupuesto anual [$$$/año]</v>
      </c>
    </row>
    <row r="73" spans="1:3" x14ac:dyDescent="0.35">
      <c r="A73" s="1" t="str">
        <f t="shared" si="1"/>
        <v>Habitantes totales [personas]</v>
      </c>
      <c r="B73" s="1" t="s">
        <v>1461</v>
      </c>
      <c r="C73" t="s">
        <v>1556</v>
      </c>
    </row>
    <row r="74" spans="1:3" x14ac:dyDescent="0.35">
      <c r="A74" s="1" t="str">
        <f t="shared" si="1"/>
        <v>Habitantes con servicio de gestión de residuos sólidos [personas]</v>
      </c>
      <c r="B74" s="1" t="s">
        <v>1471</v>
      </c>
      <c r="C74" t="s">
        <v>839</v>
      </c>
    </row>
    <row r="75" spans="1:3" x14ac:dyDescent="0.35">
      <c r="A75" s="1" t="str">
        <f t="shared" si="1"/>
        <v>Por favor, ingresar población y cobertura en pestaña 2a) Datos_escenarios.</v>
      </c>
      <c r="B75" s="1" t="s">
        <v>841</v>
      </c>
      <c r="C75" t="s">
        <v>840</v>
      </c>
    </row>
    <row r="76" spans="1:3" x14ac:dyDescent="0.35">
      <c r="A76" s="1" t="str">
        <f t="shared" si="1"/>
        <v>Recolección diferenciada</v>
      </c>
      <c r="B76" s="1" t="s">
        <v>842</v>
      </c>
      <c r="C76" t="s">
        <v>356</v>
      </c>
    </row>
    <row r="77" spans="1:3" x14ac:dyDescent="0.35">
      <c r="A77" s="1" t="str">
        <f t="shared" si="1"/>
        <v>Gestión de orgánicos</v>
      </c>
      <c r="B77" s="1" t="s">
        <v>843</v>
      </c>
      <c r="C77" t="s">
        <v>357</v>
      </c>
    </row>
    <row r="78" spans="1:3" x14ac:dyDescent="0.35">
      <c r="A78" s="1" t="str">
        <f t="shared" si="1"/>
        <v>Gestión de reciclables</v>
      </c>
      <c r="B78" s="1" t="s">
        <v>1498</v>
      </c>
      <c r="C78" t="s">
        <v>358</v>
      </c>
    </row>
    <row r="79" spans="1:3" x14ac:dyDescent="0.35">
      <c r="A79" s="1" t="str">
        <f t="shared" si="1"/>
        <v>Gestión de disposición final</v>
      </c>
      <c r="B79" s="1" t="s">
        <v>844</v>
      </c>
      <c r="C79" t="s">
        <v>359</v>
      </c>
    </row>
    <row r="80" spans="1:3" x14ac:dyDescent="0.35">
      <c r="A80" s="1" t="str">
        <f t="shared" si="1"/>
        <v>No se gestionan de forma diferenciada</v>
      </c>
      <c r="B80" s="1" t="s">
        <v>845</v>
      </c>
      <c r="C80" t="s">
        <v>360</v>
      </c>
    </row>
    <row r="81" spans="1:3" x14ac:dyDescent="0.35">
      <c r="A81" s="1" t="str">
        <f t="shared" si="1"/>
        <v>Compostaje</v>
      </c>
      <c r="B81" s="1" t="s">
        <v>846</v>
      </c>
      <c r="C81" t="s">
        <v>361</v>
      </c>
    </row>
    <row r="82" spans="1:3" x14ac:dyDescent="0.35">
      <c r="A82" s="1" t="str">
        <f t="shared" si="1"/>
        <v>Biogás</v>
      </c>
      <c r="B82" s="1" t="s">
        <v>362</v>
      </c>
      <c r="C82" t="s">
        <v>1557</v>
      </c>
    </row>
    <row r="83" spans="1:3" x14ac:dyDescent="0.35">
      <c r="A83" s="1" t="str">
        <f t="shared" si="1"/>
        <v>Otro tratamiento</v>
      </c>
      <c r="B83" s="1" t="s">
        <v>847</v>
      </c>
      <c r="C83" t="s">
        <v>363</v>
      </c>
    </row>
    <row r="84" spans="1:3" x14ac:dyDescent="0.35">
      <c r="A84" s="1" t="str">
        <f t="shared" si="1"/>
        <v>Se deposita en sitio de disposición final</v>
      </c>
      <c r="B84" s="1" t="s">
        <v>848</v>
      </c>
      <c r="C84" s="1" t="s">
        <v>368</v>
      </c>
    </row>
    <row r="85" spans="1:3" x14ac:dyDescent="0.35">
      <c r="A85" s="1" t="str">
        <f t="shared" si="1"/>
        <v>No se gestionan de forma diferenciada</v>
      </c>
      <c r="B85" s="1" t="s">
        <v>845</v>
      </c>
      <c r="C85" t="s">
        <v>360</v>
      </c>
    </row>
    <row r="86" spans="1:3" x14ac:dyDescent="0.35">
      <c r="A86" s="1" t="str">
        <f t="shared" si="1"/>
        <v>Planta de clasificación</v>
      </c>
      <c r="B86" s="1" t="s">
        <v>849</v>
      </c>
      <c r="C86" t="s">
        <v>145</v>
      </c>
    </row>
    <row r="87" spans="1:3" x14ac:dyDescent="0.35">
      <c r="A87" s="1" t="str">
        <f t="shared" si="1"/>
        <v>Otra forma de gestión</v>
      </c>
      <c r="B87" s="1" t="s">
        <v>850</v>
      </c>
      <c r="C87" t="s">
        <v>609</v>
      </c>
    </row>
    <row r="88" spans="1:3" x14ac:dyDescent="0.35">
      <c r="A88" s="1" t="str">
        <f t="shared" si="1"/>
        <v>Se deposita en sitio de disposición final</v>
      </c>
      <c r="B88" s="1" t="s">
        <v>848</v>
      </c>
      <c r="C88" s="1" t="s">
        <v>368</v>
      </c>
    </row>
    <row r="89" spans="1:3" x14ac:dyDescent="0.35">
      <c r="A89" s="1" t="str">
        <f t="shared" si="1"/>
        <v>No existe sitio definido</v>
      </c>
      <c r="B89" s="1" t="s">
        <v>851</v>
      </c>
      <c r="C89" t="s">
        <v>364</v>
      </c>
    </row>
    <row r="90" spans="1:3" x14ac:dyDescent="0.35">
      <c r="A90" s="1" t="str">
        <f t="shared" si="1"/>
        <v>Botadero a cielo abierto</v>
      </c>
      <c r="B90" s="1" t="s">
        <v>852</v>
      </c>
      <c r="C90" t="s">
        <v>365</v>
      </c>
    </row>
    <row r="91" spans="1:3" x14ac:dyDescent="0.35">
      <c r="A91" s="1" t="str">
        <f t="shared" si="1"/>
        <v>Botadero controlado</v>
      </c>
      <c r="B91" s="1" t="s">
        <v>853</v>
      </c>
      <c r="C91" t="s">
        <v>366</v>
      </c>
    </row>
    <row r="92" spans="1:3" x14ac:dyDescent="0.35">
      <c r="A92" s="1" t="str">
        <f t="shared" si="1"/>
        <v>Relleno sanitario simple con gestión de lixiviados</v>
      </c>
      <c r="B92" s="1" t="s">
        <v>854</v>
      </c>
      <c r="C92" t="s">
        <v>367</v>
      </c>
    </row>
    <row r="93" spans="1:3" x14ac:dyDescent="0.35">
      <c r="A93" s="1" t="str">
        <f t="shared" si="1"/>
        <v>Relleno sanitario completo con tratamiento de gases</v>
      </c>
      <c r="B93" s="1" t="s">
        <v>855</v>
      </c>
      <c r="C93" t="s">
        <v>856</v>
      </c>
    </row>
    <row r="94" spans="1:3" x14ac:dyDescent="0.35">
      <c r="A94" s="1" t="str">
        <f t="shared" si="1"/>
        <v>Distancia total acumulada recorrida por los vehículos de recolección por año [km/año]</v>
      </c>
      <c r="B94" s="1" t="s">
        <v>857</v>
      </c>
      <c r="C94" t="s">
        <v>1558</v>
      </c>
    </row>
    <row r="95" spans="1:3" ht="43.5" x14ac:dyDescent="0.35">
      <c r="A95" s="1" t="str">
        <f t="shared" si="1"/>
        <v>Si conocidos, puede ingresar información del sector formal y del sector informal. Los datos del sector informal serán presentados gráficamente pero no serán tomados en consideración para cálculos de eficiencia o costos.</v>
      </c>
      <c r="B95" s="1" t="s">
        <v>1466</v>
      </c>
      <c r="C95" s="1" t="s">
        <v>1559</v>
      </c>
    </row>
    <row r="96" spans="1:3" x14ac:dyDescent="0.35">
      <c r="A96" s="1" t="str">
        <f t="shared" si="1"/>
        <v>Sector formal</v>
      </c>
      <c r="B96" s="1" t="s">
        <v>1467</v>
      </c>
      <c r="C96" t="s">
        <v>1468</v>
      </c>
    </row>
    <row r="97" spans="1:3" x14ac:dyDescent="0.35">
      <c r="A97" s="1" t="str">
        <f t="shared" si="1"/>
        <v>Sector informal</v>
      </c>
      <c r="B97" s="1" t="s">
        <v>1469</v>
      </c>
      <c r="C97" t="s">
        <v>1470</v>
      </c>
    </row>
    <row r="98" spans="1:3" x14ac:dyDescent="0.35">
      <c r="A98" s="1" t="str">
        <f t="shared" si="1"/>
        <v>Peso de los residuos sólidos recolectados por año incluyendo desechos, reciclable y orgánicos [t/año]</v>
      </c>
      <c r="B98" s="1" t="s">
        <v>1343</v>
      </c>
      <c r="C98" t="s">
        <v>1560</v>
      </c>
    </row>
    <row r="99" spans="1:3" x14ac:dyDescent="0.35">
      <c r="A99" s="1" t="str">
        <f t="shared" si="1"/>
        <v>Peso de los residuos orgánicos recolectados y tratados por año [t/año]</v>
      </c>
      <c r="B99" s="1" t="s">
        <v>858</v>
      </c>
      <c r="C99" t="s">
        <v>1561</v>
      </c>
    </row>
    <row r="100" spans="1:3" ht="29" x14ac:dyDescent="0.35">
      <c r="A100" s="1" t="str">
        <f t="shared" si="1"/>
        <v>Peso de los residuos reciclables recolectados y tratados o que entran cadena de reciclaje por año [t/año]</v>
      </c>
      <c r="B100" s="1" t="s">
        <v>1499</v>
      </c>
      <c r="C100" t="s">
        <v>859</v>
      </c>
    </row>
    <row r="101" spans="1:3" x14ac:dyDescent="0.35">
      <c r="A101" s="1" t="str">
        <f t="shared" si="1"/>
        <v>Peso de los residuos sólidos depositados en sitio de disposición final por año [t/año]</v>
      </c>
      <c r="B101" s="1" t="s">
        <v>861</v>
      </c>
      <c r="C101" t="s">
        <v>860</v>
      </c>
    </row>
    <row r="102" spans="1:3" x14ac:dyDescent="0.35">
      <c r="A102" s="1" t="str">
        <f t="shared" si="1"/>
        <v>Longitud total de las vías pavimentadas de la zona de cobertura [km]</v>
      </c>
      <c r="B102" s="1" t="s">
        <v>862</v>
      </c>
      <c r="C102" t="s">
        <v>1571</v>
      </c>
    </row>
    <row r="103" spans="1:3" x14ac:dyDescent="0.35">
      <c r="A103" s="1" t="str">
        <f t="shared" si="1"/>
        <v>Longitud total de vías pavimentadas con servicio de barrido [km]</v>
      </c>
      <c r="B103" s="1" t="s">
        <v>863</v>
      </c>
      <c r="C103" t="s">
        <v>1562</v>
      </c>
    </row>
    <row r="104" spans="1:3" x14ac:dyDescent="0.35">
      <c r="A104" s="1" t="str">
        <f t="shared" si="1"/>
        <v>Longitud total acumulada de vías pavimentadas barridas por año [km/año]</v>
      </c>
      <c r="B104" s="1" t="s">
        <v>1500</v>
      </c>
      <c r="C104" t="s">
        <v>1563</v>
      </c>
    </row>
    <row r="105" spans="1:3" x14ac:dyDescent="0.35">
      <c r="A105" s="1" t="str">
        <f t="shared" si="1"/>
        <v>Superficie total de áreas públicas [m2]</v>
      </c>
      <c r="B105" s="1" t="s">
        <v>864</v>
      </c>
      <c r="C105" t="s">
        <v>1564</v>
      </c>
    </row>
    <row r="106" spans="1:3" x14ac:dyDescent="0.35">
      <c r="A106" s="1" t="str">
        <f t="shared" si="1"/>
        <v>Superficie total de áreas públicas con servicio de barrido/limpieza urbana [m2]</v>
      </c>
      <c r="B106" s="1" t="s">
        <v>1501</v>
      </c>
      <c r="C106" t="s">
        <v>1565</v>
      </c>
    </row>
    <row r="107" spans="1:3" x14ac:dyDescent="0.35">
      <c r="A107" s="1" t="str">
        <f t="shared" si="1"/>
        <v>Superficie total acumulada de áreas públicas limpiadas por año [m2/año]</v>
      </c>
      <c r="B107" s="1" t="s">
        <v>865</v>
      </c>
      <c r="C107" t="s">
        <v>1566</v>
      </c>
    </row>
    <row r="108" spans="1:3" x14ac:dyDescent="0.35">
      <c r="A108" s="1" t="str">
        <f t="shared" si="1"/>
        <v>Total de empleadas/os de servicio de barrido de vías</v>
      </c>
      <c r="B108" s="1" t="s">
        <v>866</v>
      </c>
      <c r="C108" t="s">
        <v>874</v>
      </c>
    </row>
    <row r="109" spans="1:3" x14ac:dyDescent="0.35">
      <c r="A109" s="1" t="str">
        <f t="shared" si="1"/>
        <v>Total de empleadas/os de servicio de barrido áreas públicas</v>
      </c>
      <c r="B109" s="1" t="s">
        <v>877</v>
      </c>
      <c r="C109" t="s">
        <v>1567</v>
      </c>
    </row>
    <row r="110" spans="1:3" x14ac:dyDescent="0.35">
      <c r="A110" s="1" t="str">
        <f t="shared" si="1"/>
        <v>Total de empleadas/os servicio de recolección primaria</v>
      </c>
      <c r="B110" s="1" t="s">
        <v>876</v>
      </c>
      <c r="C110" t="s">
        <v>873</v>
      </c>
    </row>
    <row r="111" spans="1:3" x14ac:dyDescent="0.35">
      <c r="A111" s="1" t="str">
        <f t="shared" si="1"/>
        <v>Total de empleadas/os servicio de recolección segundaria</v>
      </c>
      <c r="B111" s="1" t="s">
        <v>875</v>
      </c>
      <c r="C111" t="s">
        <v>872</v>
      </c>
    </row>
    <row r="112" spans="1:3" x14ac:dyDescent="0.35">
      <c r="A112" s="1" t="str">
        <f t="shared" si="1"/>
        <v>Total de empleadas/os de transferencia y transporte (si hay estación de transferencia)</v>
      </c>
      <c r="B112" s="1" t="s">
        <v>878</v>
      </c>
      <c r="C112" t="s">
        <v>871</v>
      </c>
    </row>
    <row r="113" spans="1:3" x14ac:dyDescent="0.35">
      <c r="A113" s="1" t="str">
        <f t="shared" si="1"/>
        <v>Total de camiones del servicio de recolección</v>
      </c>
      <c r="B113" s="1" t="s">
        <v>867</v>
      </c>
      <c r="C113" t="s">
        <v>869</v>
      </c>
    </row>
    <row r="114" spans="1:3" x14ac:dyDescent="0.35">
      <c r="A114" s="1" t="str">
        <f t="shared" si="1"/>
        <v>Total de camiones del servicio de transferencia</v>
      </c>
      <c r="B114" s="1" t="s">
        <v>868</v>
      </c>
      <c r="C114" t="s">
        <v>870</v>
      </c>
    </row>
    <row r="115" spans="1:3" x14ac:dyDescent="0.35">
      <c r="A115" s="1" t="str">
        <f t="shared" si="1"/>
        <v>Resumen de costos e ingresos [$$$/año]</v>
      </c>
      <c r="B115" s="1" t="str">
        <f>_xlfn.CONCAT("Summary of costs and income [",Info!C5,"/year]")</f>
        <v>Summary of costs and income [$$$/year]</v>
      </c>
      <c r="C115" t="str">
        <f>CONCATENATE("Resumen de costos e ingresos [",Info!C5,"/año]")</f>
        <v>Resumen de costos e ingresos [$$$/año]</v>
      </c>
    </row>
    <row r="116" spans="1:3" x14ac:dyDescent="0.35">
      <c r="A116" s="1" t="str">
        <f t="shared" si="1"/>
        <v>Costo anual total [$$$/año]</v>
      </c>
      <c r="B116" s="1" t="str">
        <f>_xlfn.CONCAT("Total cost per year [",Info!C5,"/year]")</f>
        <v>Total cost per year [$$$/year]</v>
      </c>
      <c r="C116" t="str">
        <f>_xlfn.CONCAT("Costo anual total [",Info!C5,"/año]")</f>
        <v>Costo anual total [$$$/año]</v>
      </c>
    </row>
    <row r="117" spans="1:3" x14ac:dyDescent="0.35">
      <c r="A117" s="1" t="str">
        <f t="shared" si="1"/>
        <v>Costo por tonelada recolectada [$$$/ton]</v>
      </c>
      <c r="B117" s="1" t="str">
        <f>_xlfn.CONCAT("Total cost per ton collected [",Info!C5,"/year]")</f>
        <v>Total cost per ton collected [$$$/year]</v>
      </c>
      <c r="C117" t="str">
        <f>_xlfn.CONCAT("Costo por tonelada recolectada [",Info!C5,"/ton]")</f>
        <v>Costo por tonelada recolectada [$$$/ton]</v>
      </c>
    </row>
    <row r="118" spans="1:3" x14ac:dyDescent="0.35">
      <c r="A118" s="1" t="str">
        <f t="shared" si="1"/>
        <v>Costo por usuario [$$$/hab*año]</v>
      </c>
      <c r="B118" s="1" t="str">
        <f>CONCATENATE("Cost per user per year [",Info!C5,"/hab*year]")</f>
        <v>Cost per user per year [$$$/hab*year]</v>
      </c>
      <c r="C118" t="str">
        <f>_xlfn.CONCAT("Costo por usuario [",Info!C5,"/hab*año]")</f>
        <v>Costo por usuario [$$$/hab*año]</v>
      </c>
    </row>
    <row r="119" spans="1:3" x14ac:dyDescent="0.35">
      <c r="A119" s="1" t="str">
        <f t="shared" si="1"/>
        <v>Monto de subvención municipal planificado por año [$$$/año]</v>
      </c>
      <c r="B119" s="1" t="str">
        <f>_xlfn.CONCAT("Planned amount of municipal subsidy per year [",Info!C5,"/year]")</f>
        <v>Planned amount of municipal subsidy per year [$$$/year]</v>
      </c>
      <c r="C119" t="str">
        <f>_xlfn.CONCAT("Monto de subvención municipal planificado por año [",Info!C5,"/año]")</f>
        <v>Monto de subvención municipal planificado por año [$$$/año]</v>
      </c>
    </row>
    <row r="120" spans="1:3" x14ac:dyDescent="0.35">
      <c r="A120" s="1" t="str">
        <f t="shared" si="1"/>
        <v>Facturado anualmente [$$$/año]</v>
      </c>
      <c r="B120" s="1" t="str">
        <f>_xlfn.CONCAT("Billed amount per year [",Info!C5,"/year]")</f>
        <v>Billed amount per year [$$$/year]</v>
      </c>
      <c r="C120" t="str">
        <f>_xlfn.CONCAT("Facturado anualmente [",Info!C5,"/año]")</f>
        <v>Facturado anualmente [$$$/año]</v>
      </c>
    </row>
    <row r="121" spans="1:3" x14ac:dyDescent="0.35">
      <c r="A121" s="1" t="str">
        <f t="shared" si="1"/>
        <v>Cobrado anualmente [$$$/año]</v>
      </c>
      <c r="B121" s="1" t="str">
        <f>_xlfn.CONCAT("Charged amount per year [",Info!C5,"/year]")</f>
        <v>Charged amount per year [$$$/year]</v>
      </c>
      <c r="C121" t="str">
        <f>_xlfn.CONCAT("Cobrado anualmente [",Info!C5,"/año]")</f>
        <v>Cobrado anualmente [$$$/año]</v>
      </c>
    </row>
    <row r="122" spans="1:3" x14ac:dyDescent="0.35">
      <c r="A122" s="1" t="str">
        <f t="shared" si="1"/>
        <v>Morosidad de pago [%]</v>
      </c>
      <c r="B122" s="1" t="s">
        <v>829</v>
      </c>
      <c r="C122" t="s">
        <v>568</v>
      </c>
    </row>
    <row r="123" spans="1:3" x14ac:dyDescent="0.35">
      <c r="A123" s="1" t="str">
        <f t="shared" si="1"/>
        <v>Subvención necesaria por año [$$$/año]</v>
      </c>
      <c r="B123" s="1" t="str">
        <f>CONCATENATE("Necessary subsidy per year [",Info!C5,"/year]")</f>
        <v>Necessary subsidy per year [$$$/year]</v>
      </c>
      <c r="C123" t="str">
        <f>_xlfn.CONCAT("Subvención necesaria por año [",Info!C5,"/año]")</f>
        <v>Subvención necesaria por año [$$$/año]</v>
      </c>
    </row>
    <row r="124" spans="1:3" x14ac:dyDescent="0.35">
      <c r="A124" s="1" t="str">
        <f t="shared" si="1"/>
        <v>Deficiencia de presupuesto [$$$/año]</v>
      </c>
      <c r="B124" s="1" t="str">
        <f>_xlfn.CONCAT("Budget deficiency [",Info!C5,"/year]")</f>
        <v>Budget deficiency [$$$/year]</v>
      </c>
      <c r="C124" t="str">
        <f>_xlfn.CONCAT("Deficiencia de presupuesto [",Info!C5,"/año]")</f>
        <v>Deficiencia de presupuesto [$$$/año]</v>
      </c>
    </row>
    <row r="125" spans="1:3" x14ac:dyDescent="0.35">
      <c r="A125" s="1" t="str">
        <f t="shared" si="1"/>
        <v>Costos por tonelada</v>
      </c>
      <c r="B125" s="1" t="s">
        <v>1388</v>
      </c>
      <c r="C125" t="s">
        <v>1389</v>
      </c>
    </row>
    <row r="126" spans="1:3" x14ac:dyDescent="0.35">
      <c r="A126" s="1" t="str">
        <f t="shared" si="1"/>
        <v>Resumen de costos</v>
      </c>
      <c r="B126" s="1" t="s">
        <v>1385</v>
      </c>
      <c r="C126" t="s">
        <v>614</v>
      </c>
    </row>
    <row r="127" spans="1:3" x14ac:dyDescent="0.35">
      <c r="A127" s="1" t="str">
        <f t="shared" si="1"/>
        <v>Indicadores de eficiencia</v>
      </c>
      <c r="B127" s="1" t="s">
        <v>879</v>
      </c>
      <c r="C127" t="s">
        <v>600</v>
      </c>
    </row>
    <row r="128" spans="1:3" x14ac:dyDescent="0.35">
      <c r="A128" s="1" t="str">
        <f t="shared" si="1"/>
        <v>Ingreso de datos para cálculos de modelización</v>
      </c>
      <c r="B128" s="1" t="s">
        <v>881</v>
      </c>
      <c r="C128" t="s">
        <v>880</v>
      </c>
    </row>
    <row r="129" spans="1:3" x14ac:dyDescent="0.35">
      <c r="A129" s="1" t="str">
        <f t="shared" si="1"/>
        <v>Fracciones de residuos sólidos gestionadas y no gestionadas de total generado</v>
      </c>
      <c r="B129" s="1" t="s">
        <v>1380</v>
      </c>
      <c r="C129" t="s">
        <v>1374</v>
      </c>
    </row>
    <row r="130" spans="1:3" x14ac:dyDescent="0.35">
      <c r="A130" s="1" t="str">
        <f t="shared" ref="A130:A193" si="2">HLOOKUP($A$1,B:K,ROW(A130),0)</f>
        <v>Recolectados: aprovechados</v>
      </c>
      <c r="B130" s="1" t="s">
        <v>1502</v>
      </c>
      <c r="C130" t="s">
        <v>1379</v>
      </c>
    </row>
    <row r="131" spans="1:3" x14ac:dyDescent="0.35">
      <c r="A131" s="1" t="str">
        <f t="shared" si="2"/>
        <v>Recolectados: dispuestos de forma segura</v>
      </c>
      <c r="B131" s="1" t="s">
        <v>1381</v>
      </c>
      <c r="C131" t="s">
        <v>1378</v>
      </c>
    </row>
    <row r="132" spans="1:3" x14ac:dyDescent="0.35">
      <c r="A132" s="1" t="str">
        <f t="shared" si="2"/>
        <v>Recolectados: no gestionados de forma segura</v>
      </c>
      <c r="B132" s="1" t="s">
        <v>1382</v>
      </c>
      <c r="C132" t="s">
        <v>1377</v>
      </c>
    </row>
    <row r="133" spans="1:3" x14ac:dyDescent="0.35">
      <c r="A133" s="1" t="str">
        <f t="shared" si="2"/>
        <v>No recolectados: dentro de la zona de cobertura</v>
      </c>
      <c r="B133" s="1" t="s">
        <v>1383</v>
      </c>
      <c r="C133" t="s">
        <v>1376</v>
      </c>
    </row>
    <row r="134" spans="1:3" x14ac:dyDescent="0.35">
      <c r="A134" s="1" t="str">
        <f t="shared" si="2"/>
        <v>No recolectados: fuera de la zona de cobertura</v>
      </c>
      <c r="B134" s="1" t="s">
        <v>1384</v>
      </c>
      <c r="C134" t="s">
        <v>1375</v>
      </c>
    </row>
    <row r="135" spans="1:3" ht="72.5" x14ac:dyDescent="0.35">
      <c r="A135" s="1" t="str">
        <f t="shared" si="2"/>
        <v>Indicaciones de uso:
En esta sección se deben de ingresar toda la información requerida en las casillas de color blanco. Adicionalmente, se debe verificar que los parámetros predefinidos corresponden a su caso de estudio.</v>
      </c>
      <c r="B135" s="1" t="s">
        <v>1503</v>
      </c>
      <c r="C135" s="1" t="s">
        <v>1572</v>
      </c>
    </row>
    <row r="136" spans="1:3" x14ac:dyDescent="0.35">
      <c r="A136" s="1" t="str">
        <f t="shared" si="2"/>
        <v>A) Información general</v>
      </c>
      <c r="B136" s="1" t="s">
        <v>886</v>
      </c>
      <c r="C136" t="s">
        <v>648</v>
      </c>
    </row>
    <row r="137" spans="1:3" x14ac:dyDescent="0.35">
      <c r="A137" s="1" t="str">
        <f t="shared" si="2"/>
        <v>Indicación</v>
      </c>
      <c r="B137" s="1" t="s">
        <v>887</v>
      </c>
      <c r="C137" t="s">
        <v>2</v>
      </c>
    </row>
    <row r="138" spans="1:3" x14ac:dyDescent="0.35">
      <c r="A138" s="1" t="str">
        <f t="shared" si="2"/>
        <v>Población total</v>
      </c>
      <c r="B138" s="1" t="s">
        <v>889</v>
      </c>
      <c r="C138" t="s">
        <v>888</v>
      </c>
    </row>
    <row r="139" spans="1:3" x14ac:dyDescent="0.35">
      <c r="A139" s="1" t="str">
        <f t="shared" si="2"/>
        <v>Numero promedio de personas por vivienda</v>
      </c>
      <c r="B139" s="1" t="s">
        <v>890</v>
      </c>
      <c r="C139" t="s">
        <v>891</v>
      </c>
    </row>
    <row r="140" spans="1:3" x14ac:dyDescent="0.35">
      <c r="A140" s="1" t="str">
        <f t="shared" si="2"/>
        <v>Cobertura del servicio [%]</v>
      </c>
      <c r="B140" s="1" t="s">
        <v>892</v>
      </c>
      <c r="C140" t="s">
        <v>0</v>
      </c>
    </row>
    <row r="141" spans="1:3" x14ac:dyDescent="0.35">
      <c r="A141" s="1" t="str">
        <f t="shared" si="2"/>
        <v>% de la población servida por el servicio de recolección</v>
      </c>
      <c r="B141" s="1" t="s">
        <v>893</v>
      </c>
      <c r="C141" t="s">
        <v>3</v>
      </c>
    </row>
    <row r="142" spans="1:3" x14ac:dyDescent="0.35">
      <c r="A142" s="1" t="str">
        <f t="shared" si="2"/>
        <v>Generación de residuos sólidos por día y por persona [kg/hab*día]</v>
      </c>
      <c r="B142" s="1" t="s">
        <v>894</v>
      </c>
      <c r="C142" t="s">
        <v>895</v>
      </c>
    </row>
    <row r="143" spans="1:3" x14ac:dyDescent="0.35">
      <c r="A143" s="1" t="str">
        <f t="shared" si="2"/>
        <v>Días de generación [días/semana]</v>
      </c>
      <c r="B143" s="1" t="s">
        <v>896</v>
      </c>
      <c r="C143" t="s">
        <v>4</v>
      </c>
    </row>
    <row r="144" spans="1:3" x14ac:dyDescent="0.35">
      <c r="A144" s="1" t="str">
        <f t="shared" si="2"/>
        <v>Por defecto = 7</v>
      </c>
      <c r="B144" s="1" t="s">
        <v>1210</v>
      </c>
      <c r="C144" t="s">
        <v>152</v>
      </c>
    </row>
    <row r="145" spans="1:3" x14ac:dyDescent="0.35">
      <c r="A145" s="1" t="str">
        <f t="shared" si="2"/>
        <v>% de residuos sólidos no domiciliares generados en relación a la generación total [%]</v>
      </c>
      <c r="B145" s="1" t="s">
        <v>1463</v>
      </c>
      <c r="C145" t="s">
        <v>1464</v>
      </c>
    </row>
    <row r="146" spans="1:3" ht="29" x14ac:dyDescent="0.35">
      <c r="A146" s="1" t="str">
        <f t="shared" si="2"/>
        <v>Por ejemplo: si la generación total es 1.000 kg /día y la generación no domiciliar es 300 kg/día, aquí se indica 30%. Por defecto = 30% como en la herramienta "Waste Flow Diagram".</v>
      </c>
      <c r="B146" s="1" t="s">
        <v>1465</v>
      </c>
      <c r="C146" s="1" t="s">
        <v>1491</v>
      </c>
    </row>
    <row r="147" spans="1:3" x14ac:dyDescent="0.35">
      <c r="A147" s="1" t="str">
        <f t="shared" si="2"/>
        <v>Densidad de carretera [km/km2]</v>
      </c>
      <c r="B147" s="1" t="s">
        <v>897</v>
      </c>
      <c r="C147" t="s">
        <v>29</v>
      </c>
    </row>
    <row r="148" spans="1:3" ht="87" x14ac:dyDescent="0.35">
      <c r="A148" s="1" t="str">
        <f t="shared" si="2"/>
        <v>Valores indicativos:
Nivel 1: 15km/km2
Nivel 2: 4 km/km2
Nivel 3: 1 km/km2
Nivel 4: 0.2 km/km2
Se puede calcular con la longitud total de carretera por superficie considerada</v>
      </c>
      <c r="B148" s="1" t="s">
        <v>1504</v>
      </c>
      <c r="C148" s="1" t="s">
        <v>93</v>
      </c>
    </row>
    <row r="149" spans="1:3" x14ac:dyDescent="0.35">
      <c r="A149" s="1" t="str">
        <f t="shared" si="2"/>
        <v>Superficie de zona considerada en hectáreas [hectáreas]</v>
      </c>
      <c r="B149" s="1" t="s">
        <v>1505</v>
      </c>
      <c r="C149" t="s">
        <v>1573</v>
      </c>
    </row>
    <row r="150" spans="1:3" x14ac:dyDescent="0.35">
      <c r="A150" s="1" t="str">
        <f t="shared" si="2"/>
        <v>Ingresar la superficie total de la ciudad - donde la población ingresada anteriormente vive</v>
      </c>
      <c r="B150" s="1" t="s">
        <v>899</v>
      </c>
      <c r="C150" t="s">
        <v>900</v>
      </c>
    </row>
    <row r="151" spans="1:3" x14ac:dyDescent="0.35">
      <c r="A151" s="1" t="str">
        <f t="shared" si="2"/>
        <v>Superficie de zona considerada [km2]</v>
      </c>
      <c r="B151" s="1" t="s">
        <v>898</v>
      </c>
      <c r="C151" t="s">
        <v>26</v>
      </c>
    </row>
    <row r="152" spans="1:3" x14ac:dyDescent="0.35">
      <c r="A152" s="1" t="str">
        <f t="shared" si="2"/>
        <v>1 hectárea = 0.01 km2</v>
      </c>
      <c r="B152" s="1" t="s">
        <v>1506</v>
      </c>
      <c r="C152" t="s">
        <v>1574</v>
      </c>
    </row>
    <row r="153" spans="1:3" x14ac:dyDescent="0.35">
      <c r="A153" s="1" t="str">
        <f t="shared" si="2"/>
        <v>B) Características de los residuos sólidos</v>
      </c>
      <c r="B153" s="1" t="s">
        <v>901</v>
      </c>
      <c r="C153" t="s">
        <v>1575</v>
      </c>
    </row>
    <row r="154" spans="1:3" x14ac:dyDescent="0.35">
      <c r="A154" s="1" t="str">
        <f t="shared" si="2"/>
        <v>Si no se conocen los datos locales, utilizar valores de literatura los más representativos del contexto</v>
      </c>
      <c r="B154" s="1" t="s">
        <v>902</v>
      </c>
      <c r="C154" t="s">
        <v>217</v>
      </c>
    </row>
    <row r="155" spans="1:3" x14ac:dyDescent="0.35">
      <c r="A155" s="1" t="str">
        <f t="shared" si="2"/>
        <v>Fracción orgánica por peso [%]</v>
      </c>
      <c r="B155" s="1" t="s">
        <v>903</v>
      </c>
      <c r="C155" t="s">
        <v>904</v>
      </c>
    </row>
    <row r="156" spans="1:3" x14ac:dyDescent="0.35">
      <c r="A156" s="1" t="str">
        <f t="shared" si="2"/>
        <v>Papel y cartón por peso [%]</v>
      </c>
      <c r="B156" s="1" t="s">
        <v>919</v>
      </c>
      <c r="C156" t="s">
        <v>905</v>
      </c>
    </row>
    <row r="157" spans="1:3" x14ac:dyDescent="0.35">
      <c r="A157" s="1" t="str">
        <f t="shared" si="2"/>
        <v>Metales por peso [%]</v>
      </c>
      <c r="B157" s="1" t="s">
        <v>909</v>
      </c>
      <c r="C157" t="s">
        <v>906</v>
      </c>
    </row>
    <row r="158" spans="1:3" x14ac:dyDescent="0.35">
      <c r="A158" s="1" t="str">
        <f t="shared" si="2"/>
        <v>Plásticos por peso [%]</v>
      </c>
      <c r="B158" s="1" t="s">
        <v>910</v>
      </c>
      <c r="C158" t="s">
        <v>907</v>
      </c>
    </row>
    <row r="159" spans="1:3" x14ac:dyDescent="0.35">
      <c r="A159" s="1" t="str">
        <f t="shared" si="2"/>
        <v>Vidrios por peso [%]</v>
      </c>
      <c r="B159" s="1" t="s">
        <v>911</v>
      </c>
      <c r="C159" t="s">
        <v>908</v>
      </c>
    </row>
    <row r="160" spans="1:3" x14ac:dyDescent="0.35">
      <c r="A160" s="1" t="str">
        <f t="shared" si="2"/>
        <v>Tomar en cuenta que es definido por % PESO</v>
      </c>
      <c r="B160" s="1" t="s">
        <v>912</v>
      </c>
      <c r="C160" t="s">
        <v>6</v>
      </c>
    </row>
    <row r="161" spans="1:3" x14ac:dyDescent="0.35">
      <c r="A161" s="1" t="str">
        <f t="shared" si="2"/>
        <v>Otros &amp; desechos por peso [%]</v>
      </c>
      <c r="B161" s="1" t="s">
        <v>913</v>
      </c>
      <c r="C161" t="s">
        <v>914</v>
      </c>
    </row>
    <row r="162" spans="1:3" x14ac:dyDescent="0.35">
      <c r="A162" s="1" t="str">
        <f t="shared" si="2"/>
        <v>Densidad de residuos sólidos mixtos sueltos [kg/m3]</v>
      </c>
      <c r="B162" s="1" t="s">
        <v>916</v>
      </c>
      <c r="C162" t="s">
        <v>915</v>
      </c>
    </row>
    <row r="163" spans="1:3" x14ac:dyDescent="0.35">
      <c r="A163" s="1" t="str">
        <f t="shared" si="2"/>
        <v>Densidad de RS mixtos en vehículo de transferencia [kg/m3]</v>
      </c>
      <c r="B163" s="1" t="s">
        <v>917</v>
      </c>
      <c r="C163" t="s">
        <v>218</v>
      </c>
    </row>
    <row r="164" spans="1:3" x14ac:dyDescent="0.35">
      <c r="A164" s="1" t="str">
        <f t="shared" si="2"/>
        <v>Densidad de RS orgánicos [kg/m3]</v>
      </c>
      <c r="B164" s="1" t="s">
        <v>918</v>
      </c>
      <c r="C164" t="s">
        <v>7</v>
      </c>
    </row>
    <row r="165" spans="1:3" x14ac:dyDescent="0.35">
      <c r="A165" s="1" t="str">
        <f t="shared" si="2"/>
        <v>Densidad de RS reciclables mesclados (papel, cartón, metales, plásticos, vidrios) [kg/m3]</v>
      </c>
      <c r="B165" s="1" t="s">
        <v>1507</v>
      </c>
      <c r="C165" t="s">
        <v>105</v>
      </c>
    </row>
    <row r="166" spans="1:3" x14ac:dyDescent="0.35">
      <c r="A166" s="1" t="str">
        <f t="shared" si="2"/>
        <v>Densidad de RS papel y cartón [kg/m3]</v>
      </c>
      <c r="B166" s="1" t="s">
        <v>920</v>
      </c>
      <c r="C166" t="s">
        <v>104</v>
      </c>
    </row>
    <row r="167" spans="1:3" x14ac:dyDescent="0.35">
      <c r="A167" s="1" t="str">
        <f t="shared" si="2"/>
        <v>Densidad de RS metales [kg/m3]</v>
      </c>
      <c r="B167" s="1" t="s">
        <v>921</v>
      </c>
      <c r="C167" t="s">
        <v>8</v>
      </c>
    </row>
    <row r="168" spans="1:3" x14ac:dyDescent="0.35">
      <c r="A168" s="1" t="str">
        <f t="shared" si="2"/>
        <v>Densidad de RS plásticos [kg/m3]</v>
      </c>
      <c r="B168" s="1" t="s">
        <v>922</v>
      </c>
      <c r="C168" t="s">
        <v>9</v>
      </c>
    </row>
    <row r="169" spans="1:3" x14ac:dyDescent="0.35">
      <c r="A169" s="1" t="str">
        <f t="shared" si="2"/>
        <v>Densidad de RS vidrios [kg/m3]</v>
      </c>
      <c r="B169" s="1" t="s">
        <v>923</v>
      </c>
      <c r="C169" t="s">
        <v>10</v>
      </c>
    </row>
    <row r="170" spans="1:3" x14ac:dyDescent="0.35">
      <c r="A170" s="1" t="str">
        <f t="shared" si="2"/>
        <v>Densidad de RS otros &amp; desechos [kg/m3]</v>
      </c>
      <c r="B170" s="1" t="s">
        <v>925</v>
      </c>
      <c r="C170" t="s">
        <v>99</v>
      </c>
    </row>
    <row r="171" spans="1:3" x14ac:dyDescent="0.35">
      <c r="A171" s="1" t="str">
        <f t="shared" si="2"/>
        <v>Incluye todas las categorías no especificadas anteriormente, según norma NB 743</v>
      </c>
      <c r="B171" s="1" t="s">
        <v>924</v>
      </c>
      <c r="C171" t="s">
        <v>1576</v>
      </c>
    </row>
    <row r="172" spans="1:3" x14ac:dyDescent="0.35">
      <c r="A172" s="1" t="str">
        <f t="shared" si="2"/>
        <v>Por defecto = 161</v>
      </c>
      <c r="B172" s="1" t="s">
        <v>1211</v>
      </c>
      <c r="C172" t="s">
        <v>153</v>
      </c>
    </row>
    <row r="173" spans="1:3" x14ac:dyDescent="0.35">
      <c r="A173" s="1" t="str">
        <f t="shared" si="2"/>
        <v>Por defecto = 300</v>
      </c>
      <c r="B173" s="1" t="s">
        <v>1212</v>
      </c>
      <c r="C173" t="s">
        <v>154</v>
      </c>
    </row>
    <row r="174" spans="1:3" x14ac:dyDescent="0.35">
      <c r="A174" s="1" t="str">
        <f t="shared" si="2"/>
        <v>Por defecto = 200</v>
      </c>
      <c r="B174" s="1" t="s">
        <v>1213</v>
      </c>
      <c r="C174" t="s">
        <v>155</v>
      </c>
    </row>
    <row r="175" spans="1:3" x14ac:dyDescent="0.35">
      <c r="A175" s="1" t="str">
        <f t="shared" si="2"/>
        <v>Por defecto = 1200</v>
      </c>
      <c r="B175" s="1" t="s">
        <v>1214</v>
      </c>
      <c r="C175" t="s">
        <v>156</v>
      </c>
    </row>
    <row r="176" spans="1:3" x14ac:dyDescent="0.35">
      <c r="A176" s="1" t="str">
        <f t="shared" si="2"/>
        <v>Por defecto = 50</v>
      </c>
      <c r="B176" t="s">
        <v>1215</v>
      </c>
      <c r="C176" t="s">
        <v>157</v>
      </c>
    </row>
    <row r="177" spans="1:3" x14ac:dyDescent="0.35">
      <c r="A177" s="1" t="str">
        <f t="shared" si="2"/>
        <v>Por defecto = 800</v>
      </c>
      <c r="B177" t="s">
        <v>1216</v>
      </c>
      <c r="C177" t="s">
        <v>158</v>
      </c>
    </row>
    <row r="178" spans="1:3" x14ac:dyDescent="0.35">
      <c r="A178" s="1" t="str">
        <f t="shared" si="2"/>
        <v>Por defecto, igual a RS mixtos sueltos</v>
      </c>
      <c r="B178" t="s">
        <v>1217</v>
      </c>
      <c r="C178" t="s">
        <v>535</v>
      </c>
    </row>
    <row r="179" spans="1:3" x14ac:dyDescent="0.35">
      <c r="A179" s="1" t="str">
        <f t="shared" si="2"/>
        <v>C) Vehículos de recolección y de transferencia</v>
      </c>
      <c r="B179" t="s">
        <v>926</v>
      </c>
      <c r="C179" t="s">
        <v>649</v>
      </c>
    </row>
    <row r="180" spans="1:3" x14ac:dyDescent="0.35">
      <c r="A180" s="1" t="str">
        <f t="shared" si="2"/>
        <v>Volumen de vehículo de recolección segundaria [m3]</v>
      </c>
      <c r="B180" t="s">
        <v>927</v>
      </c>
      <c r="C180" t="s">
        <v>788</v>
      </c>
    </row>
    <row r="181" spans="1:3" x14ac:dyDescent="0.35">
      <c r="A181" s="1" t="str">
        <f t="shared" si="2"/>
        <v>Grado de compactación vehículo de recolección []</v>
      </c>
      <c r="B181" t="s">
        <v>928</v>
      </c>
      <c r="C181" t="s">
        <v>537</v>
      </c>
    </row>
    <row r="182" spans="1:3" x14ac:dyDescent="0.35">
      <c r="A182" s="1" t="str">
        <f t="shared" si="2"/>
        <v>Grado de compactación vehículo de recolección para materia orgánica []</v>
      </c>
      <c r="B182" t="s">
        <v>929</v>
      </c>
      <c r="C182" t="s">
        <v>770</v>
      </c>
    </row>
    <row r="183" spans="1:3" x14ac:dyDescent="0.35">
      <c r="A183" s="1" t="str">
        <f t="shared" si="2"/>
        <v>Volumen de vehículo de transferencia [m3]</v>
      </c>
      <c r="B183" t="s">
        <v>930</v>
      </c>
      <c r="C183" t="s">
        <v>11</v>
      </c>
    </row>
    <row r="184" spans="1:3" x14ac:dyDescent="0.35">
      <c r="A184" s="1" t="str">
        <f t="shared" si="2"/>
        <v>Grado de compactación vehículo de transferencia []</v>
      </c>
      <c r="B184" t="s">
        <v>931</v>
      </c>
      <c r="C184" t="s">
        <v>538</v>
      </c>
    </row>
    <row r="185" spans="1:3" x14ac:dyDescent="0.35">
      <c r="A185" s="1" t="str">
        <f t="shared" si="2"/>
        <v>Consumo de gasolina/diésel de vehículos de recolección segundaria [L/km]</v>
      </c>
      <c r="B185" t="s">
        <v>934</v>
      </c>
      <c r="C185" t="s">
        <v>932</v>
      </c>
    </row>
    <row r="186" spans="1:3" x14ac:dyDescent="0.35">
      <c r="A186" s="1" t="str">
        <f t="shared" si="2"/>
        <v>Consumo de gasolina/diésel de vehículos de transferencia [L/km]</v>
      </c>
      <c r="B186" t="s">
        <v>933</v>
      </c>
      <c r="C186" t="s">
        <v>221</v>
      </c>
    </row>
    <row r="187" spans="1:3" x14ac:dyDescent="0.35">
      <c r="A187" s="1" t="str">
        <f t="shared" si="2"/>
        <v>Costo de gasolina/diésel [$$$/L]</v>
      </c>
      <c r="B187" t="str">
        <f>CONCATENATE("Fuel cost per litre [",Info!C5,"/L]")</f>
        <v>Fuel cost per litre [$$$/L]</v>
      </c>
      <c r="C187" t="str">
        <f>_xlfn.CONCAT("Costo de gasolina/diésel [",Info!C5,"/L]")</f>
        <v>Costo de gasolina/diésel [$$$/L]</v>
      </c>
    </row>
    <row r="188" spans="1:3" x14ac:dyDescent="0.35">
      <c r="A188" s="1" t="str">
        <f t="shared" si="2"/>
        <v>Costo de seguro por vehículo de recolección y por año [$$$/año]</v>
      </c>
      <c r="B188" t="str">
        <f>_xlfn.CONCAT("Insurance cost per collection vehicle and per year [",Info!C5,"/year]")</f>
        <v>Insurance cost per collection vehicle and per year [$$$/year]</v>
      </c>
      <c r="C188" t="str">
        <f>_xlfn.CONCAT("Costo de seguro por vehículo de recolección y por año [",Info!C5,"/año]")</f>
        <v>Costo de seguro por vehículo de recolección y por año [$$$/año]</v>
      </c>
    </row>
    <row r="189" spans="1:3" x14ac:dyDescent="0.35">
      <c r="A189" s="1" t="str">
        <f t="shared" si="2"/>
        <v>Costo de mantenimiento por km vehículos de recolección [$$$/km]</v>
      </c>
      <c r="B189" t="str">
        <f>_xlfn.CONCAT("Maintenance cost per km for collection vehicles [",Info!C5,"/km]")</f>
        <v>Maintenance cost per km for collection vehicles [$$$/km]</v>
      </c>
      <c r="C189" t="str">
        <f>_xlfn.CONCAT("Costo de mantenimiento por km vehículos de recolección [",Info!C5,"/km]")</f>
        <v>Costo de mantenimiento por km vehículos de recolección [$$$/km]</v>
      </c>
    </row>
    <row r="190" spans="1:3" x14ac:dyDescent="0.35">
      <c r="A190" s="1" t="str">
        <f t="shared" si="2"/>
        <v>Costo de seguro por vehículo de transferencia y por año [$$$/año]</v>
      </c>
      <c r="B190" t="str">
        <f>_xlfn.CONCAT("Insurance cost per transfer vehicle and per year [",Info!C5,"/year]")</f>
        <v>Insurance cost per transfer vehicle and per year [$$$/year]</v>
      </c>
      <c r="C190" t="str">
        <f>_xlfn.CONCAT("Costo de seguro por vehículo de transferencia y por año [",Info!C5,"/año]")</f>
        <v>Costo de seguro por vehículo de transferencia y por año [$$$/año]</v>
      </c>
    </row>
    <row r="191" spans="1:3" x14ac:dyDescent="0.35">
      <c r="A191" s="1" t="str">
        <f t="shared" si="2"/>
        <v>Costo de mantenimiento por km camiones de transferencia [$$$/km]</v>
      </c>
      <c r="B191" t="str">
        <f>_xlfn.CONCAT("Maintenance cost per km for transfer vehicles [",Info!C5,"/km]")</f>
        <v>Maintenance cost per km for transfer vehicles [$$$/km]</v>
      </c>
      <c r="C191" t="str">
        <f>_xlfn.CONCAT("Costo de mantenimiento por km camiones de transferencia [",Info!C5,"/km]")</f>
        <v>Costo de mantenimiento por km camiones de transferencia [$$$/km]</v>
      </c>
    </row>
    <row r="192" spans="1:3" x14ac:dyDescent="0.35">
      <c r="A192" s="1" t="str">
        <f t="shared" si="2"/>
        <v>Vehículos utilizados para la recolección. Volumen de 1 vehículo.</v>
      </c>
      <c r="B192" t="s">
        <v>936</v>
      </c>
      <c r="C192" t="s">
        <v>935</v>
      </c>
    </row>
    <row r="193" spans="1:3" x14ac:dyDescent="0.35">
      <c r="A193" s="1" t="str">
        <f t="shared" si="2"/>
        <v>Si es un compactador la tasa es &gt;2, para un camión sin compactación la tasa indicativa es 1.2-1.5</v>
      </c>
      <c r="B193" t="s">
        <v>937</v>
      </c>
      <c r="C193" t="s">
        <v>219</v>
      </c>
    </row>
    <row r="194" spans="1:3" x14ac:dyDescent="0.35">
      <c r="A194" s="1" t="str">
        <f t="shared" ref="A194:A257" si="3">HLOOKUP($A$1,B:K,ROW(A194),0)</f>
        <v>Por defecto = 1.1</v>
      </c>
      <c r="B194" t="s">
        <v>1218</v>
      </c>
      <c r="C194" t="s">
        <v>159</v>
      </c>
    </row>
    <row r="195" spans="1:3" x14ac:dyDescent="0.35">
      <c r="A195" s="1" t="str">
        <f t="shared" si="3"/>
        <v>Vehículos utilizados de la estación de transferencia hacia la disposición final</v>
      </c>
      <c r="B195" t="s">
        <v>938</v>
      </c>
      <c r="C195" t="s">
        <v>220</v>
      </c>
    </row>
    <row r="196" spans="1:3" x14ac:dyDescent="0.35">
      <c r="A196" s="1" t="str">
        <f t="shared" si="3"/>
        <v>Por defecto, igual a 80% de la tasa de compactación de recolección.</v>
      </c>
      <c r="B196" t="s">
        <v>1219</v>
      </c>
      <c r="C196" t="s">
        <v>534</v>
      </c>
    </row>
    <row r="197" spans="1:3" x14ac:dyDescent="0.35">
      <c r="A197" s="1" t="str">
        <f t="shared" si="3"/>
        <v>Por defecto = 0.45</v>
      </c>
      <c r="B197" t="s">
        <v>1220</v>
      </c>
      <c r="C197" t="s">
        <v>163</v>
      </c>
    </row>
    <row r="198" spans="1:3" x14ac:dyDescent="0.35">
      <c r="A198" s="1" t="str">
        <f t="shared" si="3"/>
        <v>Por defecto = 0.3</v>
      </c>
      <c r="B198" t="s">
        <v>1221</v>
      </c>
      <c r="C198" t="s">
        <v>164</v>
      </c>
    </row>
    <row r="199" spans="1:3" x14ac:dyDescent="0.35">
      <c r="A199" s="1" t="str">
        <f t="shared" si="3"/>
        <v>Por defecto = 1'700 USD</v>
      </c>
      <c r="B199" t="s">
        <v>1428</v>
      </c>
      <c r="C199" t="s">
        <v>1427</v>
      </c>
    </row>
    <row r="200" spans="1:3" x14ac:dyDescent="0.35">
      <c r="A200" s="1" t="str">
        <f t="shared" si="3"/>
        <v>Por defecto = 0.3 USD</v>
      </c>
      <c r="B200" t="s">
        <v>1429</v>
      </c>
      <c r="C200" t="s">
        <v>1430</v>
      </c>
    </row>
    <row r="201" spans="1:3" x14ac:dyDescent="0.35">
      <c r="A201" s="1" t="str">
        <f t="shared" si="3"/>
        <v>Por defecto = 0.15 USD</v>
      </c>
      <c r="B201" t="s">
        <v>1431</v>
      </c>
      <c r="C201" t="s">
        <v>1432</v>
      </c>
    </row>
    <row r="202" spans="1:3" x14ac:dyDescent="0.35">
      <c r="A202" s="1" t="str">
        <f t="shared" si="3"/>
        <v>D) Recolección primaria</v>
      </c>
      <c r="B202" t="s">
        <v>939</v>
      </c>
      <c r="C202" t="s">
        <v>667</v>
      </c>
    </row>
    <row r="203" spans="1:3" x14ac:dyDescent="0.35">
      <c r="A203" s="1" t="str">
        <f t="shared" si="3"/>
        <v>¿Se realiza recolección primaria en alguna(s) área(s) consideradas?</v>
      </c>
      <c r="B203" t="s">
        <v>940</v>
      </c>
      <c r="C203" t="s">
        <v>1608</v>
      </c>
    </row>
    <row r="204" spans="1:3" x14ac:dyDescent="0.35">
      <c r="A204" s="1" t="str">
        <f t="shared" si="3"/>
        <v>Tipo de recolección primaria</v>
      </c>
      <c r="B204" t="s">
        <v>941</v>
      </c>
      <c r="C204" t="s">
        <v>1609</v>
      </c>
    </row>
    <row r="205" spans="1:3" x14ac:dyDescent="0.35">
      <c r="A205" s="1" t="str">
        <f t="shared" si="3"/>
        <v>Población total del área con recolección primaria</v>
      </c>
      <c r="B205" t="s">
        <v>1508</v>
      </c>
      <c r="C205" t="s">
        <v>1597</v>
      </c>
    </row>
    <row r="206" spans="1:3" x14ac:dyDescent="0.35">
      <c r="A206" s="1" t="str">
        <f t="shared" si="3"/>
        <v>Cobertura [%]</v>
      </c>
      <c r="B206" t="s">
        <v>942</v>
      </c>
      <c r="C206" t="s">
        <v>372</v>
      </c>
    </row>
    <row r="207" spans="1:3" x14ac:dyDescent="0.35">
      <c r="A207" s="1" t="str">
        <f t="shared" si="3"/>
        <v>Población total recolectada con recolección primaria</v>
      </c>
      <c r="B207" t="s">
        <v>944</v>
      </c>
      <c r="C207" t="s">
        <v>943</v>
      </c>
    </row>
    <row r="208" spans="1:3" x14ac:dyDescent="0.35">
      <c r="A208" s="1" t="str">
        <f t="shared" si="3"/>
        <v>Superficie total del área con recolección primaria [km2]</v>
      </c>
      <c r="B208" t="s">
        <v>945</v>
      </c>
      <c r="C208" t="s">
        <v>1598</v>
      </c>
    </row>
    <row r="209" spans="1:3" x14ac:dyDescent="0.35">
      <c r="A209" s="1" t="str">
        <f t="shared" si="3"/>
        <v>Densidad de carreteras [km/km2]</v>
      </c>
      <c r="B209" t="s">
        <v>897</v>
      </c>
      <c r="C209" t="s">
        <v>342</v>
      </c>
    </row>
    <row r="210" spans="1:3" x14ac:dyDescent="0.35">
      <c r="A210" s="1" t="str">
        <f t="shared" si="3"/>
        <v>Volumen de vehículos de recolección primaria [m3]</v>
      </c>
      <c r="B210" t="s">
        <v>946</v>
      </c>
      <c r="C210" t="s">
        <v>1577</v>
      </c>
    </row>
    <row r="211" spans="1:3" x14ac:dyDescent="0.35">
      <c r="A211" s="1" t="str">
        <f t="shared" si="3"/>
        <v>Costo por km para el vehículo de recolección primaria seleccionado [$$$/km]</v>
      </c>
      <c r="B211" t="str">
        <f>_xlfn.CONCAT("Cost per km for the primary collection vehicle selected [",Info!C5,"/km]")</f>
        <v>Cost per km for the primary collection vehicle selected [$$$/km]</v>
      </c>
      <c r="C211" t="str">
        <f>_xlfn.CONCAT("Costo por km para el vehículo de recolección primaria seleccionado [",Info!C5,"/km]")</f>
        <v>Costo por km para el vehículo de recolección primaria seleccionado [$$$/km]</v>
      </c>
    </row>
    <row r="212" spans="1:3" x14ac:dyDescent="0.35">
      <c r="A212" s="1" t="str">
        <f t="shared" si="3"/>
        <v>Grado de compactación []</v>
      </c>
      <c r="B212" t="s">
        <v>947</v>
      </c>
      <c r="C212" t="s">
        <v>539</v>
      </c>
    </row>
    <row r="213" spans="1:3" x14ac:dyDescent="0.35">
      <c r="A213" s="1" t="str">
        <f t="shared" si="3"/>
        <v>Frecuencia de recolección por semana [#/semana]</v>
      </c>
      <c r="B213" t="s">
        <v>948</v>
      </c>
      <c r="C213" t="s">
        <v>1610</v>
      </c>
    </row>
    <row r="214" spans="1:3" x14ac:dyDescent="0.35">
      <c r="A214" s="1" t="str">
        <f t="shared" si="3"/>
        <v>Cantidad de personal por vehículo de recolección primara</v>
      </c>
      <c r="B214" t="s">
        <v>949</v>
      </c>
      <c r="C214" t="s">
        <v>1578</v>
      </c>
    </row>
    <row r="215" spans="1:3" ht="29" x14ac:dyDescent="0.35">
      <c r="A215" s="1" t="str">
        <f t="shared" si="3"/>
        <v>Costo de salario, prestaciones, seguros y equipo por persona y por año para recolección primaria [$$$/año]</v>
      </c>
      <c r="B215" s="1" t="str">
        <f>CONCATENATE("Salary, benefits, insurance and personal protection cost per person per year for primary collection [",Info!C5,"/year]")</f>
        <v>Salary, benefits, insurance and personal protection cost per person per year for primary collection [$$$/year]</v>
      </c>
      <c r="C215" t="str">
        <f>_xlfn.CONCAT("Costo de salario, prestaciones, seguros y equipo por persona y por año para recolección primaria [",Info!C5,"/año]")</f>
        <v>Costo de salario, prestaciones, seguros y equipo por persona y por año para recolección primaria [$$$/año]</v>
      </c>
    </row>
    <row r="216" spans="1:3" x14ac:dyDescent="0.35">
      <c r="A216" s="1" t="str">
        <f t="shared" si="3"/>
        <v>Definición de velocidad de recolección [km/h]</v>
      </c>
      <c r="B216" t="s">
        <v>951</v>
      </c>
      <c r="C216" t="s">
        <v>345</v>
      </c>
    </row>
    <row r="217" spans="1:3" x14ac:dyDescent="0.35">
      <c r="A217" s="1" t="str">
        <f t="shared" si="3"/>
        <v>Velocidad de recolección [km/h]</v>
      </c>
      <c r="B217" t="s">
        <v>950</v>
      </c>
      <c r="C217" t="s">
        <v>341</v>
      </c>
    </row>
    <row r="218" spans="1:3" x14ac:dyDescent="0.35">
      <c r="A218" s="1" t="str">
        <f t="shared" si="3"/>
        <v>Distancia promedio entre zona de recolección primaria y punto de recolección segundario [km]</v>
      </c>
      <c r="B218" t="s">
        <v>952</v>
      </c>
      <c r="C218" t="s">
        <v>347</v>
      </c>
    </row>
    <row r="219" spans="1:3" x14ac:dyDescent="0.35">
      <c r="A219" s="1" t="str">
        <f t="shared" si="3"/>
        <v>Distancia promedio entre el domicilio y zona de recolección primaria [km]</v>
      </c>
      <c r="B219" t="s">
        <v>953</v>
      </c>
      <c r="C219" t="s">
        <v>771</v>
      </c>
    </row>
    <row r="220" spans="1:3" x14ac:dyDescent="0.35">
      <c r="A220" s="1" t="str">
        <f t="shared" si="3"/>
        <v>Tiempo para vaciar contenido en punto de recolección segundario [min]</v>
      </c>
      <c r="B220" t="s">
        <v>954</v>
      </c>
      <c r="C220" t="s">
        <v>351</v>
      </c>
    </row>
    <row r="221" spans="1:3" x14ac:dyDescent="0.35">
      <c r="A221" s="1" t="str">
        <f t="shared" si="3"/>
        <v>Costo del tipo de vehículo utilizado [$$$]</v>
      </c>
      <c r="B221" t="str">
        <f>_xlfn.CONCAT("Cost of the type of vehicle used [",Info!C5,"]")</f>
        <v>Cost of the type of vehicle used [$$$]</v>
      </c>
      <c r="C221" t="str">
        <f>_xlfn.CONCAT("Costo del tipo de vehículo utilizado [",Info!C5,"]")</f>
        <v>Costo del tipo de vehículo utilizado [$$$]</v>
      </c>
    </row>
    <row r="222" spans="1:3" x14ac:dyDescent="0.35">
      <c r="A222" s="1" t="str">
        <f t="shared" si="3"/>
        <v>Kilometraje máximo de vehículos de recolección primaria [km]</v>
      </c>
      <c r="B222" t="s">
        <v>955</v>
      </c>
      <c r="C222" t="s">
        <v>1579</v>
      </c>
    </row>
    <row r="223" spans="1:3" ht="29" x14ac:dyDescent="0.35">
      <c r="A223" s="1" t="str">
        <f t="shared" si="3"/>
        <v>La recolección primaria es una recolección de puerta a puerta con vehículos más pequeños que transfieren los residuos sólidos al sistema de recolección segundaria.</v>
      </c>
      <c r="B223" s="1" t="s">
        <v>956</v>
      </c>
      <c r="C223" s="1" t="s">
        <v>1580</v>
      </c>
    </row>
    <row r="224" spans="1:3" x14ac:dyDescent="0.35">
      <c r="A224" s="1" t="str">
        <f t="shared" si="3"/>
        <v>Corresponde al área donde vive la población total considerada</v>
      </c>
      <c r="B224" t="s">
        <v>1509</v>
      </c>
      <c r="C224" t="s">
        <v>1599</v>
      </c>
    </row>
    <row r="225" spans="1:3" x14ac:dyDescent="0.35">
      <c r="A225" s="1" t="str">
        <f t="shared" si="3"/>
        <v>Por defecto = definido en recolección principal</v>
      </c>
      <c r="B225" t="s">
        <v>1222</v>
      </c>
      <c r="C225" t="s">
        <v>343</v>
      </c>
    </row>
    <row r="226" spans="1:3" x14ac:dyDescent="0.35">
      <c r="A226" s="1" t="str">
        <f t="shared" si="3"/>
        <v>Por defecto = 0.6 USD, incluye combustible, mantenimiento y seguros</v>
      </c>
      <c r="B226" t="s">
        <v>1433</v>
      </c>
      <c r="C226" t="s">
        <v>1434</v>
      </c>
    </row>
    <row r="227" spans="1:3" x14ac:dyDescent="0.35">
      <c r="A227" s="1" t="str">
        <f t="shared" si="3"/>
        <v>Definir manualmente la velocidad de recolección - obligatorio si el tipo de recolección es mixto</v>
      </c>
      <c r="B227" t="s">
        <v>957</v>
      </c>
      <c r="C227" t="s">
        <v>1611</v>
      </c>
    </row>
    <row r="228" spans="1:3" x14ac:dyDescent="0.35">
      <c r="A228" s="1" t="str">
        <f t="shared" si="3"/>
        <v>Por defecto = 200 m</v>
      </c>
      <c r="B228" t="s">
        <v>1223</v>
      </c>
      <c r="C228" t="s">
        <v>348</v>
      </c>
    </row>
    <row r="229" spans="1:3" x14ac:dyDescent="0.35">
      <c r="A229" s="1" t="str">
        <f t="shared" si="3"/>
        <v>Por defecto = 2 km</v>
      </c>
      <c r="B229" t="s">
        <v>1224</v>
      </c>
      <c r="C229" t="s">
        <v>352</v>
      </c>
    </row>
    <row r="230" spans="1:3" x14ac:dyDescent="0.35">
      <c r="A230" s="1" t="str">
        <f t="shared" si="3"/>
        <v>Por defecto = 3 minutos</v>
      </c>
      <c r="B230" t="s">
        <v>1225</v>
      </c>
      <c r="C230" t="s">
        <v>350</v>
      </c>
    </row>
    <row r="231" spans="1:3" x14ac:dyDescent="0.35">
      <c r="A231" s="1" t="str">
        <f t="shared" si="3"/>
        <v>Por defecto 150'000</v>
      </c>
      <c r="B231" t="s">
        <v>1226</v>
      </c>
      <c r="C231" t="s">
        <v>656</v>
      </c>
    </row>
    <row r="232" spans="1:3" x14ac:dyDescent="0.35">
      <c r="A232" s="1" t="str">
        <f t="shared" si="3"/>
        <v>Carretón (tracción humana)</v>
      </c>
      <c r="B232" t="s">
        <v>958</v>
      </c>
      <c r="C232" t="s">
        <v>337</v>
      </c>
    </row>
    <row r="233" spans="1:3" x14ac:dyDescent="0.35">
      <c r="A233" s="1" t="str">
        <f t="shared" si="3"/>
        <v>Triciclo (tracción humana)</v>
      </c>
      <c r="B233" t="s">
        <v>959</v>
      </c>
      <c r="C233" t="s">
        <v>338</v>
      </c>
    </row>
    <row r="234" spans="1:3" x14ac:dyDescent="0.35">
      <c r="A234" s="1" t="str">
        <f t="shared" si="3"/>
        <v>Alforjas (tracción animal)</v>
      </c>
      <c r="B234" t="s">
        <v>960</v>
      </c>
      <c r="C234" t="s">
        <v>339</v>
      </c>
    </row>
    <row r="235" spans="1:3" x14ac:dyDescent="0.35">
      <c r="A235" s="1" t="str">
        <f t="shared" si="3"/>
        <v>Carretón (tracción animal)</v>
      </c>
      <c r="B235" t="s">
        <v>961</v>
      </c>
      <c r="C235" t="s">
        <v>340</v>
      </c>
    </row>
    <row r="236" spans="1:3" x14ac:dyDescent="0.35">
      <c r="A236" s="1" t="str">
        <f t="shared" si="3"/>
        <v>Pequeño camión (tracción motorizada)</v>
      </c>
      <c r="B236" t="s">
        <v>962</v>
      </c>
      <c r="C236" t="s">
        <v>1612</v>
      </c>
    </row>
    <row r="237" spans="1:3" x14ac:dyDescent="0.35">
      <c r="A237" s="1" t="str">
        <f t="shared" si="3"/>
        <v>Triciclo motorizado (tracción motorizada)</v>
      </c>
      <c r="B237" t="s">
        <v>963</v>
      </c>
      <c r="C237" t="s">
        <v>1613</v>
      </c>
    </row>
    <row r="238" spans="1:3" x14ac:dyDescent="0.35">
      <c r="A238" s="1" t="str">
        <f t="shared" si="3"/>
        <v>Mixto</v>
      </c>
      <c r="B238" t="s">
        <v>964</v>
      </c>
      <c r="C238" t="s">
        <v>344</v>
      </c>
    </row>
    <row r="239" spans="1:3" x14ac:dyDescent="0.35">
      <c r="A239" s="1" t="str">
        <f t="shared" si="3"/>
        <v>E) Rutas de recolección</v>
      </c>
      <c r="B239" t="s">
        <v>965</v>
      </c>
      <c r="C239" t="s">
        <v>650</v>
      </c>
    </row>
    <row r="240" spans="1:3" x14ac:dyDescent="0.35">
      <c r="A240" s="1" t="str">
        <f t="shared" si="3"/>
        <v>Distancia promedio entre parqueo y primer punto de recolección [km]</v>
      </c>
      <c r="B240" t="s">
        <v>1510</v>
      </c>
      <c r="C240" t="s">
        <v>12</v>
      </c>
    </row>
    <row r="241" spans="1:3" x14ac:dyDescent="0.35">
      <c r="A241" s="1" t="str">
        <f t="shared" si="3"/>
        <v>Distancia promedio desde el último punto de recolección hacia sitio de disposición final [km]</v>
      </c>
      <c r="B241" t="s">
        <v>967</v>
      </c>
      <c r="C241" t="s">
        <v>1614</v>
      </c>
    </row>
    <row r="242" spans="1:3" x14ac:dyDescent="0.35">
      <c r="A242" s="1" t="str">
        <f t="shared" si="3"/>
        <v>Distancia promedio desde el último punto de recolección hacia estación de transferencia [km]</v>
      </c>
      <c r="B242" t="s">
        <v>966</v>
      </c>
      <c r="C242" t="s">
        <v>222</v>
      </c>
    </row>
    <row r="243" spans="1:3" x14ac:dyDescent="0.35">
      <c r="A243" s="1" t="str">
        <f t="shared" si="3"/>
        <v>Distancia promedio de estación de transferencia a sitio de disposición final [km]</v>
      </c>
      <c r="B243" t="s">
        <v>968</v>
      </c>
      <c r="C243" t="s">
        <v>13</v>
      </c>
    </row>
    <row r="244" spans="1:3" x14ac:dyDescent="0.35">
      <c r="A244" s="1" t="str">
        <f t="shared" si="3"/>
        <v>Distancia promedio desde el último punto de recolección hacia planta de clasificación/reciclaje [km]</v>
      </c>
      <c r="B244" t="s">
        <v>970</v>
      </c>
      <c r="C244" t="s">
        <v>971</v>
      </c>
    </row>
    <row r="245" spans="1:3" x14ac:dyDescent="0.35">
      <c r="A245" s="1" t="str">
        <f t="shared" si="3"/>
        <v>Distancia promedio desde el último punto de recolección hacia planta de compostaje [km]</v>
      </c>
      <c r="B245" t="s">
        <v>969</v>
      </c>
      <c r="C245" t="s">
        <v>1615</v>
      </c>
    </row>
    <row r="246" spans="1:3" x14ac:dyDescent="0.35">
      <c r="A246" s="1" t="str">
        <f t="shared" si="3"/>
        <v>Velocidad promedio en zonas urbanas para vehículos de recolección [km/h]</v>
      </c>
      <c r="B246" t="s">
        <v>972</v>
      </c>
      <c r="C246" t="s">
        <v>224</v>
      </c>
    </row>
    <row r="247" spans="1:3" x14ac:dyDescent="0.35">
      <c r="A247" s="1" t="str">
        <f t="shared" si="3"/>
        <v>Velocidad promedio fuera de zonas urbanas para vehículos de recolección [km/h]</v>
      </c>
      <c r="B247" t="s">
        <v>973</v>
      </c>
      <c r="C247" t="s">
        <v>225</v>
      </c>
    </row>
    <row r="248" spans="1:3" x14ac:dyDescent="0.35">
      <c r="A248" s="1" t="str">
        <f t="shared" si="3"/>
        <v>Velocidad promedio de fuera de zonas urbanas para vehículos de transferencia [km/h]</v>
      </c>
      <c r="B248" t="s">
        <v>974</v>
      </c>
      <c r="C248" t="s">
        <v>226</v>
      </c>
    </row>
    <row r="249" spans="1:3" x14ac:dyDescent="0.35">
      <c r="A249" s="1" t="str">
        <f t="shared" si="3"/>
        <v>Aplica cuando no hay estación de transferencia</v>
      </c>
      <c r="B249" t="s">
        <v>975</v>
      </c>
      <c r="C249" t="s">
        <v>179</v>
      </c>
    </row>
    <row r="250" spans="1:3" x14ac:dyDescent="0.35">
      <c r="A250" s="1" t="str">
        <f t="shared" si="3"/>
        <v>Aplica cuando hay estación de transferencia</v>
      </c>
      <c r="B250" t="s">
        <v>976</v>
      </c>
      <c r="C250" t="s">
        <v>180</v>
      </c>
    </row>
    <row r="251" spans="1:3" x14ac:dyDescent="0.35">
      <c r="A251" s="1" t="str">
        <f t="shared" si="3"/>
        <v>Aplica cuando hay estación de transferencia</v>
      </c>
      <c r="B251" t="s">
        <v>976</v>
      </c>
      <c r="C251" t="s">
        <v>180</v>
      </c>
    </row>
    <row r="252" spans="1:3" x14ac:dyDescent="0.35">
      <c r="A252" s="1" t="str">
        <f t="shared" si="3"/>
        <v>Por defecto = mismo sitio que estación de transferencia</v>
      </c>
      <c r="B252" t="s">
        <v>1227</v>
      </c>
      <c r="C252" t="s">
        <v>223</v>
      </c>
    </row>
    <row r="253" spans="1:3" x14ac:dyDescent="0.35">
      <c r="A253" s="1" t="str">
        <f t="shared" si="3"/>
        <v>Por defecto = mismo sitio que estación de transferencia</v>
      </c>
      <c r="B253" t="s">
        <v>1227</v>
      </c>
      <c r="C253" t="s">
        <v>223</v>
      </c>
    </row>
    <row r="254" spans="1:3" x14ac:dyDescent="0.35">
      <c r="A254" s="1" t="str">
        <f t="shared" si="3"/>
        <v>Por defecto = 15</v>
      </c>
      <c r="B254" t="s">
        <v>1228</v>
      </c>
      <c r="C254" t="s">
        <v>290</v>
      </c>
    </row>
    <row r="255" spans="1:3" x14ac:dyDescent="0.35">
      <c r="A255" s="1" t="str">
        <f t="shared" si="3"/>
        <v>Por defecto = 40</v>
      </c>
      <c r="B255" t="s">
        <v>1229</v>
      </c>
      <c r="C255" t="s">
        <v>532</v>
      </c>
    </row>
    <row r="256" spans="1:3" x14ac:dyDescent="0.35">
      <c r="A256" s="1" t="str">
        <f t="shared" si="3"/>
        <v>Por defecto = 40</v>
      </c>
      <c r="B256" t="s">
        <v>1229</v>
      </c>
      <c r="C256" t="s">
        <v>532</v>
      </c>
    </row>
    <row r="257" spans="1:3" x14ac:dyDescent="0.35">
      <c r="A257" s="1" t="str">
        <f t="shared" si="3"/>
        <v>F) Personal</v>
      </c>
      <c r="B257" t="s">
        <v>977</v>
      </c>
      <c r="C257" t="s">
        <v>651</v>
      </c>
    </row>
    <row r="258" spans="1:3" x14ac:dyDescent="0.35">
      <c r="A258" s="1" t="str">
        <f t="shared" ref="A258:A321" si="4">HLOOKUP($A$1,B:K,ROW(A258),0)</f>
        <v>Se completa como promedio por cada empleado/a</v>
      </c>
      <c r="B258" t="s">
        <v>978</v>
      </c>
      <c r="C258" t="s">
        <v>16</v>
      </c>
    </row>
    <row r="259" spans="1:3" x14ac:dyDescent="0.35">
      <c r="A259" s="1" t="str">
        <f t="shared" si="4"/>
        <v>Días laborales legales por semana [días/semana]</v>
      </c>
      <c r="B259" t="s">
        <v>980</v>
      </c>
      <c r="C259" t="s">
        <v>982</v>
      </c>
    </row>
    <row r="260" spans="1:3" x14ac:dyDescent="0.35">
      <c r="A260" s="1" t="str">
        <f t="shared" si="4"/>
        <v>Horas laborales por día laboral [horas/día]</v>
      </c>
      <c r="B260" t="s">
        <v>981</v>
      </c>
      <c r="C260" t="s">
        <v>983</v>
      </c>
    </row>
    <row r="261" spans="1:3" x14ac:dyDescent="0.35">
      <c r="A261" s="1" t="str">
        <f t="shared" si="4"/>
        <v>Días de vacaciones por año [días/año]</v>
      </c>
      <c r="B261" t="s">
        <v>979</v>
      </c>
      <c r="C261" t="s">
        <v>15</v>
      </c>
    </row>
    <row r="262" spans="1:3" x14ac:dyDescent="0.35">
      <c r="A262" s="1" t="str">
        <f t="shared" si="4"/>
        <v>Días feriados por año [día/año]</v>
      </c>
      <c r="B262" t="s">
        <v>984</v>
      </c>
      <c r="C262" t="s">
        <v>289</v>
      </c>
    </row>
    <row r="263" spans="1:3" x14ac:dyDescent="0.35">
      <c r="A263" s="1" t="str">
        <f t="shared" si="4"/>
        <v>Días laborales equivalentes por semana [días/semana]</v>
      </c>
      <c r="B263" t="s">
        <v>985</v>
      </c>
      <c r="C263" t="s">
        <v>291</v>
      </c>
    </row>
    <row r="264" spans="1:3" x14ac:dyDescent="0.35">
      <c r="A264" s="1" t="str">
        <f t="shared" si="4"/>
        <v>¿Se trabaja los días sábado?</v>
      </c>
      <c r="B264" t="s">
        <v>986</v>
      </c>
      <c r="C264" t="s">
        <v>1616</v>
      </c>
    </row>
    <row r="265" spans="1:3" x14ac:dyDescent="0.35">
      <c r="A265" s="1" t="str">
        <f t="shared" si="4"/>
        <v>¿Se trabaja los días domingo?</v>
      </c>
      <c r="B265" t="s">
        <v>987</v>
      </c>
      <c r="C265" t="s">
        <v>1617</v>
      </c>
    </row>
    <row r="266" spans="1:3" ht="29" x14ac:dyDescent="0.35">
      <c r="A266" s="1" t="str">
        <f t="shared" si="4"/>
        <v>¿Se pueden realizar dos turnos de 8 horas para un mismo camión con dos equipos de recolección diferentes en un día?</v>
      </c>
      <c r="B266" s="1" t="s">
        <v>1511</v>
      </c>
      <c r="C266" s="1" t="s">
        <v>1618</v>
      </c>
    </row>
    <row r="267" spans="1:3" x14ac:dyDescent="0.35">
      <c r="A267" s="1" t="str">
        <f t="shared" si="4"/>
        <v>Prueba lógica 1 []</v>
      </c>
      <c r="B267" t="s">
        <v>988</v>
      </c>
      <c r="C267" t="s">
        <v>1619</v>
      </c>
    </row>
    <row r="268" spans="1:3" x14ac:dyDescent="0.35">
      <c r="A268" s="1" t="str">
        <f t="shared" si="4"/>
        <v>Factor aplicado al número de camiones necesario []</v>
      </c>
      <c r="B268" t="s">
        <v>989</v>
      </c>
      <c r="C268" t="s">
        <v>1620</v>
      </c>
    </row>
    <row r="269" spans="1:3" x14ac:dyDescent="0.35">
      <c r="A269" s="1" t="str">
        <f t="shared" si="4"/>
        <v>Días laborales por año [días/año]</v>
      </c>
      <c r="B269" t="s">
        <v>1395</v>
      </c>
      <c r="C269" t="s">
        <v>17</v>
      </c>
    </row>
    <row r="270" spans="1:3" x14ac:dyDescent="0.35">
      <c r="A270" s="1" t="str">
        <f t="shared" si="4"/>
        <v>Horas laborales por año [horas/año]</v>
      </c>
      <c r="B270" t="s">
        <v>990</v>
      </c>
      <c r="C270" t="s">
        <v>991</v>
      </c>
    </row>
    <row r="271" spans="1:3" x14ac:dyDescent="0.35">
      <c r="A271" s="1" t="str">
        <f t="shared" si="4"/>
        <v>Costos de salario, beneficios sociales y seguros anuales para chofer [$$$/año]</v>
      </c>
      <c r="B271" t="str">
        <f>_xlfn.CONCAT("Costs for salaries, social benefits and insurances for drivers per year [",Info!C5,"/year]")</f>
        <v>Costs for salaries, social benefits and insurances for drivers per year [$$$/year]</v>
      </c>
      <c r="C271" t="str">
        <f>_xlfn.CONCAT("Costos de salario, beneficios sociales y seguros anuales para chofer [",Info!C5,"/año]")</f>
        <v>Costos de salario, beneficios sociales y seguros anuales para chofer [$$$/año]</v>
      </c>
    </row>
    <row r="272" spans="1:3" x14ac:dyDescent="0.35">
      <c r="A272" s="1" t="str">
        <f t="shared" si="4"/>
        <v>Costos de salario, beneficios sociales y seguros anuales para ayudante de recolección [$$$/año]</v>
      </c>
      <c r="B272" t="str">
        <f>_xlfn.CONCAT("Costs for salaries, social benefits and insurances for collection workers per year [",Info!C5,"/year]")</f>
        <v>Costs for salaries, social benefits and insurances for collection workers per year [$$$/year]</v>
      </c>
      <c r="C272" t="str">
        <f>_xlfn.CONCAT("Costos de salario, beneficios sociales y seguros anuales para ayudante de recolección [",Info!C5,"/año]")</f>
        <v>Costos de salario, beneficios sociales y seguros anuales para ayudante de recolección [$$$/año]</v>
      </c>
    </row>
    <row r="273" spans="1:3" x14ac:dyDescent="0.35">
      <c r="A273" s="1" t="str">
        <f t="shared" si="4"/>
        <v>Costos de salario, beneficios sociales y seguros anuales para trabajador/a [$$$/año]</v>
      </c>
      <c r="B273" t="str">
        <f>_xlfn.CONCAT("Costs for salaries, social benefits and insurances for workers per year [",Info!C5,"/year]")</f>
        <v>Costs for salaries, social benefits and insurances for workers per year [$$$/year]</v>
      </c>
      <c r="C273" t="str">
        <f>_xlfn.CONCAT("Costos de salario, beneficios sociales y seguros anuales para trabajador/a [",Info!C5,"/año]")</f>
        <v>Costos de salario, beneficios sociales y seguros anuales para trabajador/a [$$$/año]</v>
      </c>
    </row>
    <row r="274" spans="1:3" x14ac:dyDescent="0.35">
      <c r="A274" s="1" t="str">
        <f t="shared" si="4"/>
        <v>Otros costos anuales para chofer [$$$/año]</v>
      </c>
      <c r="B274" t="str">
        <f>_xlfn.CONCAT("Other costs for drivers per year [",Info!C5,"/year]")</f>
        <v>Other costs for drivers per year [$$$/year]</v>
      </c>
      <c r="C274" t="str">
        <f>_xlfn.CONCAT("Otros costos anuales para chofer [",Info!C5,"/año]")</f>
        <v>Otros costos anuales para chofer [$$$/año]</v>
      </c>
    </row>
    <row r="275" spans="1:3" x14ac:dyDescent="0.35">
      <c r="A275" s="1" t="str">
        <f t="shared" si="4"/>
        <v>Otros costos anuales para ayudante de recolección [$$$/año]</v>
      </c>
      <c r="B275" t="str">
        <f>_xlfn.CONCAT("Other costs for collection workers per year [",Info!C5,"/year]")</f>
        <v>Other costs for collection workers per year [$$$/year]</v>
      </c>
      <c r="C275" t="str">
        <f>_xlfn.CONCAT("Otros costos anuales para ayudante de recolección [",Info!C5,"/año]")</f>
        <v>Otros costos anuales para ayudante de recolección [$$$/año]</v>
      </c>
    </row>
    <row r="276" spans="1:3" x14ac:dyDescent="0.35">
      <c r="A276" s="1" t="str">
        <f t="shared" si="4"/>
        <v>Otros costos anuales para trabajador/a [$$$/año]</v>
      </c>
      <c r="B276" t="str">
        <f>_xlfn.CONCAT("Other costs for workers per year [",Info!C5,"/year]")</f>
        <v>Other costs for workers per year [$$$/year]</v>
      </c>
      <c r="C276" t="str">
        <f>_xlfn.CONCAT("Otros costos anuales para trabajador/a [",Info!C5,"/año]")</f>
        <v>Otros costos anuales para trabajador/a [$$$/año]</v>
      </c>
    </row>
    <row r="277" spans="1:3" x14ac:dyDescent="0.35">
      <c r="A277" s="1" t="str">
        <f t="shared" si="4"/>
        <v>Si</v>
      </c>
      <c r="B277" t="s">
        <v>818</v>
      </c>
      <c r="C277" t="s">
        <v>100</v>
      </c>
    </row>
    <row r="278" spans="1:3" x14ac:dyDescent="0.35">
      <c r="A278" s="1" t="str">
        <f t="shared" si="4"/>
        <v>No</v>
      </c>
      <c r="B278" t="s">
        <v>101</v>
      </c>
      <c r="C278" t="s">
        <v>101</v>
      </c>
    </row>
    <row r="279" spans="1:3" x14ac:dyDescent="0.35">
      <c r="A279" s="1" t="str">
        <f t="shared" si="4"/>
        <v>Por defecto = 5</v>
      </c>
      <c r="B279" t="s">
        <v>1230</v>
      </c>
      <c r="C279" t="s">
        <v>161</v>
      </c>
    </row>
    <row r="280" spans="1:3" x14ac:dyDescent="0.35">
      <c r="A280" s="1" t="str">
        <f t="shared" si="4"/>
        <v>Por defecto = 8</v>
      </c>
      <c r="B280" t="s">
        <v>1231</v>
      </c>
      <c r="C280" t="s">
        <v>160</v>
      </c>
    </row>
    <row r="281" spans="1:3" x14ac:dyDescent="0.35">
      <c r="A281" s="1" t="str">
        <f t="shared" si="4"/>
        <v>Por defecto = 20</v>
      </c>
      <c r="B281" t="s">
        <v>1232</v>
      </c>
      <c r="C281" t="s">
        <v>162</v>
      </c>
    </row>
    <row r="282" spans="1:3" x14ac:dyDescent="0.35">
      <c r="A282" s="1" t="str">
        <f t="shared" si="4"/>
        <v>Por defecto = 15</v>
      </c>
      <c r="B282" t="s">
        <v>1228</v>
      </c>
      <c r="C282" t="s">
        <v>290</v>
      </c>
    </row>
    <row r="283" spans="1:3" ht="29" x14ac:dyDescent="0.35">
      <c r="A283" s="1" t="str">
        <f t="shared" si="4"/>
        <v>Si la recolección es posible entre 6 am y 22 pm (16h o más) entonces si se debería poder utilizar un camión para 2 turnos en 1 día</v>
      </c>
      <c r="B283" s="1" t="s">
        <v>992</v>
      </c>
      <c r="C283" s="1" t="s">
        <v>1621</v>
      </c>
    </row>
    <row r="284" spans="1:3" x14ac:dyDescent="0.35">
      <c r="A284" s="1" t="str">
        <f t="shared" si="4"/>
        <v>Costo para 1 persona en todas estas líneas</v>
      </c>
      <c r="B284" t="s">
        <v>995</v>
      </c>
      <c r="C284" t="s">
        <v>1622</v>
      </c>
    </row>
    <row r="285" spans="1:3" x14ac:dyDescent="0.35">
      <c r="A285" s="1" t="str">
        <f t="shared" si="4"/>
        <v>Personal ayudante en camión de recolección o transferencia</v>
      </c>
      <c r="B285" t="s">
        <v>997</v>
      </c>
      <c r="C285" t="s">
        <v>993</v>
      </c>
    </row>
    <row r="286" spans="1:3" x14ac:dyDescent="0.35">
      <c r="A286" s="1" t="str">
        <f t="shared" si="4"/>
        <v>Personal de estación de transferencia</v>
      </c>
      <c r="B286" t="s">
        <v>998</v>
      </c>
      <c r="C286" t="s">
        <v>994</v>
      </c>
    </row>
    <row r="287" spans="1:3" x14ac:dyDescent="0.35">
      <c r="A287" s="1" t="str">
        <f t="shared" si="4"/>
        <v>Incluye materiales, suministros varios y equipo</v>
      </c>
      <c r="B287" t="s">
        <v>999</v>
      </c>
      <c r="C287" t="s">
        <v>996</v>
      </c>
    </row>
    <row r="288" spans="1:3" x14ac:dyDescent="0.35">
      <c r="A288" s="1" t="str">
        <f t="shared" si="4"/>
        <v>G) Recolección domiciliar</v>
      </c>
      <c r="B288" t="s">
        <v>1000</v>
      </c>
      <c r="C288" t="s">
        <v>652</v>
      </c>
    </row>
    <row r="289" spans="1:3" x14ac:dyDescent="0.35">
      <c r="A289" s="1" t="str">
        <f t="shared" si="4"/>
        <v>Frecuencia de recolección semanal [n°recolección/semana]</v>
      </c>
      <c r="B289" t="s">
        <v>948</v>
      </c>
      <c r="C289" t="s">
        <v>1623</v>
      </c>
    </row>
    <row r="290" spans="1:3" x14ac:dyDescent="0.35">
      <c r="A290" s="1" t="str">
        <f t="shared" si="4"/>
        <v>Frecuencia de recolección semanal contenedores [n°recolección/semana]</v>
      </c>
      <c r="B290" t="s">
        <v>1001</v>
      </c>
      <c r="C290" t="s">
        <v>1624</v>
      </c>
    </row>
    <row r="291" spans="1:3" x14ac:dyDescent="0.35">
      <c r="A291" s="1" t="str">
        <f t="shared" si="4"/>
        <v>Frecuencia de recolección semanal para desechos [n°recolección/semana]</v>
      </c>
      <c r="B291" t="s">
        <v>1002</v>
      </c>
      <c r="C291" t="s">
        <v>1625</v>
      </c>
    </row>
    <row r="292" spans="1:3" x14ac:dyDescent="0.35">
      <c r="A292" s="1" t="str">
        <f t="shared" si="4"/>
        <v>Frecuencia de recolección semanal para reciclables [n°recolección/semana]</v>
      </c>
      <c r="B292" t="s">
        <v>1512</v>
      </c>
      <c r="C292" t="s">
        <v>1626</v>
      </c>
    </row>
    <row r="293" spans="1:3" x14ac:dyDescent="0.35">
      <c r="A293" s="1" t="str">
        <f t="shared" si="4"/>
        <v>Frecuencia de recolección semanal para materia orgánica [n°recolección/semana]</v>
      </c>
      <c r="B293" t="s">
        <v>1003</v>
      </c>
      <c r="C293" t="s">
        <v>1627</v>
      </c>
    </row>
    <row r="294" spans="1:3" x14ac:dyDescent="0.35">
      <c r="A294" s="1" t="str">
        <f t="shared" si="4"/>
        <v>N° de veces que se recolectan rutas especificas (modelo A/B)</v>
      </c>
      <c r="B294" t="s">
        <v>1004</v>
      </c>
      <c r="C294" t="s">
        <v>565</v>
      </c>
    </row>
    <row r="295" spans="1:3" x14ac:dyDescent="0.35">
      <c r="A295" s="1" t="str">
        <f t="shared" si="4"/>
        <v>Aplica para opción con contenedores (modelo C)</v>
      </c>
      <c r="B295" t="s">
        <v>1005</v>
      </c>
      <c r="C295" t="s">
        <v>566</v>
      </c>
    </row>
    <row r="296" spans="1:3" x14ac:dyDescent="0.35">
      <c r="A296" s="1" t="str">
        <f t="shared" si="4"/>
        <v>Aplica para opción con clasificación (modelo D)</v>
      </c>
      <c r="B296" t="s">
        <v>1006</v>
      </c>
      <c r="C296" t="s">
        <v>567</v>
      </c>
    </row>
    <row r="297" spans="1:3" x14ac:dyDescent="0.35">
      <c r="A297" s="1" t="str">
        <f t="shared" si="4"/>
        <v>Aplica para opción con clasificación (modelo D)</v>
      </c>
      <c r="B297" t="s">
        <v>1006</v>
      </c>
      <c r="C297" t="s">
        <v>567</v>
      </c>
    </row>
    <row r="298" spans="1:3" x14ac:dyDescent="0.35">
      <c r="A298" s="1" t="str">
        <f t="shared" si="4"/>
        <v>Aplica para opción con clasificación (modelo D)</v>
      </c>
      <c r="B298" t="s">
        <v>1006</v>
      </c>
      <c r="C298" t="s">
        <v>567</v>
      </c>
    </row>
    <row r="299" spans="1:3" x14ac:dyDescent="0.35">
      <c r="A299" s="1" t="str">
        <f t="shared" si="4"/>
        <v>H) Tiempos de descarga</v>
      </c>
      <c r="B299" t="s">
        <v>1010</v>
      </c>
      <c r="C299" t="s">
        <v>653</v>
      </c>
    </row>
    <row r="300" spans="1:3" x14ac:dyDescent="0.35">
      <c r="A300" s="1" t="str">
        <f t="shared" si="4"/>
        <v>Tiempo para vaciar camión recolector en estación de transferencia o disposición final [minutos]</v>
      </c>
      <c r="B300" t="s">
        <v>1007</v>
      </c>
      <c r="C300" t="s">
        <v>553</v>
      </c>
    </row>
    <row r="301" spans="1:3" x14ac:dyDescent="0.35">
      <c r="A301" s="1" t="str">
        <f t="shared" si="4"/>
        <v>Tiempo para llenar camiones de transferencia en la estación de transferencia [minutos]</v>
      </c>
      <c r="B301" t="s">
        <v>1008</v>
      </c>
      <c r="C301" t="s">
        <v>52</v>
      </c>
    </row>
    <row r="302" spans="1:3" x14ac:dyDescent="0.35">
      <c r="A302" s="1" t="str">
        <f t="shared" si="4"/>
        <v>Tiempo para vaciar camiones de transferencia en sitio de disposición final [minutos]</v>
      </c>
      <c r="B302" t="s">
        <v>1009</v>
      </c>
      <c r="C302" t="s">
        <v>53</v>
      </c>
    </row>
    <row r="303" spans="1:3" x14ac:dyDescent="0.35">
      <c r="A303" s="1" t="str">
        <f t="shared" si="4"/>
        <v>Por defecto = 12</v>
      </c>
      <c r="B303" t="s">
        <v>1233</v>
      </c>
      <c r="C303" t="s">
        <v>175</v>
      </c>
    </row>
    <row r="304" spans="1:3" x14ac:dyDescent="0.35">
      <c r="A304" s="1" t="str">
        <f t="shared" si="4"/>
        <v>Por defecto = 12</v>
      </c>
      <c r="B304" t="s">
        <v>1233</v>
      </c>
      <c r="C304" t="s">
        <v>175</v>
      </c>
    </row>
    <row r="305" spans="1:3" x14ac:dyDescent="0.35">
      <c r="A305" s="1" t="str">
        <f t="shared" si="4"/>
        <v>Por defecto = 12</v>
      </c>
      <c r="B305" t="s">
        <v>1233</v>
      </c>
      <c r="C305" t="s">
        <v>175</v>
      </c>
    </row>
    <row r="306" spans="1:3" x14ac:dyDescent="0.35">
      <c r="A306" s="1" t="str">
        <f t="shared" si="4"/>
        <v>I) Tiempos de depreciación y costos</v>
      </c>
      <c r="B306" t="s">
        <v>1011</v>
      </c>
      <c r="C306" t="s">
        <v>654</v>
      </c>
    </row>
    <row r="307" spans="1:3" x14ac:dyDescent="0.35">
      <c r="A307" s="1" t="str">
        <f t="shared" si="4"/>
        <v>Kilometraje máximo de vehículo de recolección [km]</v>
      </c>
      <c r="B307" t="s">
        <v>1012</v>
      </c>
      <c r="C307" t="s">
        <v>1628</v>
      </c>
    </row>
    <row r="308" spans="1:3" x14ac:dyDescent="0.35">
      <c r="A308" s="1" t="str">
        <f t="shared" si="4"/>
        <v>Costo vehículo de recolección [$$$]</v>
      </c>
      <c r="B308" t="str">
        <f>_xlfn.CONCAT("Cost of secondary collection vehicles [",Info!C5,"]")</f>
        <v>Cost of secondary collection vehicles [$$$]</v>
      </c>
      <c r="C308" t="str">
        <f>_xlfn.CONCAT("Costo vehículo de recolección [",Info!C5,"]")</f>
        <v>Costo vehículo de recolección [$$$]</v>
      </c>
    </row>
    <row r="309" spans="1:3" x14ac:dyDescent="0.35">
      <c r="A309" s="1" t="str">
        <f t="shared" si="4"/>
        <v>Kilometraje máximo de vehículos de transferencia [km]</v>
      </c>
      <c r="B309" t="s">
        <v>1013</v>
      </c>
      <c r="C309" t="s">
        <v>1629</v>
      </c>
    </row>
    <row r="310" spans="1:3" x14ac:dyDescent="0.35">
      <c r="A310" s="1" t="str">
        <f t="shared" si="4"/>
        <v>Costo vehículo de transferencia [$$$]</v>
      </c>
      <c r="B310" t="str">
        <f>_xlfn.CONCAT("Cost of transfer vehicles [",Info!C5,"]")</f>
        <v>Cost of transfer vehicles [$$$]</v>
      </c>
      <c r="C310" t="str">
        <f>_xlfn.CONCAT("Costo vehículo de transferencia [",Info!C5,"]")</f>
        <v>Costo vehículo de transferencia [$$$]</v>
      </c>
    </row>
    <row r="311" spans="1:3" x14ac:dyDescent="0.35">
      <c r="A311" s="1" t="str">
        <f t="shared" si="4"/>
        <v>Tiempo de vida de contenedores [años]</v>
      </c>
      <c r="B311" t="s">
        <v>1014</v>
      </c>
      <c r="C311" t="s">
        <v>592</v>
      </c>
    </row>
    <row r="312" spans="1:3" x14ac:dyDescent="0.35">
      <c r="A312" s="1" t="str">
        <f t="shared" si="4"/>
        <v>Costo contenedor [$$$]</v>
      </c>
      <c r="B312" t="str">
        <f>_xlfn.CONCAT("Cost of containers [",Info!C5,"]")</f>
        <v>Cost of containers [$$$]</v>
      </c>
      <c r="C312" t="str">
        <f>_xlfn.CONCAT("Costo contenedor [",Info!C5,"]")</f>
        <v>Costo contenedor [$$$]</v>
      </c>
    </row>
    <row r="313" spans="1:3" x14ac:dyDescent="0.35">
      <c r="A313" s="1" t="str">
        <f t="shared" si="4"/>
        <v>Tiempo de vida de estación de transferencia [años]</v>
      </c>
      <c r="B313" t="s">
        <v>1015</v>
      </c>
      <c r="C313" t="s">
        <v>591</v>
      </c>
    </row>
    <row r="314" spans="1:3" x14ac:dyDescent="0.35">
      <c r="A314" s="1" t="str">
        <f t="shared" si="4"/>
        <v>Costo estación de transferencia [$$$]</v>
      </c>
      <c r="B314" t="str">
        <f>_xlfn.CONCAT("Cost of the transfer station [",Info!C5,"]")</f>
        <v>Cost of the transfer station [$$$]</v>
      </c>
      <c r="C314" t="str">
        <f>_xlfn.CONCAT("Costo estación de transferencia [",Info!C5,"]")</f>
        <v>Costo estación de transferencia [$$$]</v>
      </c>
    </row>
    <row r="315" spans="1:3" x14ac:dyDescent="0.35">
      <c r="A315" s="1" t="str">
        <f t="shared" si="4"/>
        <v>Por defecto = 36'000 USD, para 1 vehículo</v>
      </c>
      <c r="B315" t="s">
        <v>1442</v>
      </c>
      <c r="C315" t="s">
        <v>1435</v>
      </c>
    </row>
    <row r="316" spans="1:3" x14ac:dyDescent="0.35">
      <c r="A316" s="1" t="str">
        <f t="shared" si="4"/>
        <v>Por defecto = 128'000 USD, camión compactador</v>
      </c>
      <c r="B316" t="s">
        <v>1441</v>
      </c>
      <c r="C316" t="s">
        <v>1436</v>
      </c>
    </row>
    <row r="317" spans="1:3" x14ac:dyDescent="0.35">
      <c r="A317" s="1" t="str">
        <f t="shared" si="4"/>
        <v>Por defecto = 36'000 USD</v>
      </c>
      <c r="B317" t="s">
        <v>1440</v>
      </c>
      <c r="C317" t="s">
        <v>1437</v>
      </c>
    </row>
    <row r="318" spans="1:3" x14ac:dyDescent="0.35">
      <c r="A318" s="1" t="str">
        <f t="shared" si="4"/>
        <v>Por defecto = 5</v>
      </c>
      <c r="B318" t="s">
        <v>1230</v>
      </c>
      <c r="C318" t="s">
        <v>161</v>
      </c>
    </row>
    <row r="319" spans="1:3" x14ac:dyDescent="0.35">
      <c r="A319" s="1" t="str">
        <f t="shared" si="4"/>
        <v>Por defecto = 400 USD</v>
      </c>
      <c r="B319" t="s">
        <v>1443</v>
      </c>
      <c r="C319" t="s">
        <v>1444</v>
      </c>
    </row>
    <row r="320" spans="1:3" x14ac:dyDescent="0.35">
      <c r="A320" s="1" t="str">
        <f t="shared" si="4"/>
        <v>Por defecto = 100'000 USD</v>
      </c>
      <c r="B320" t="s">
        <v>1439</v>
      </c>
      <c r="C320" t="s">
        <v>1438</v>
      </c>
    </row>
    <row r="321" spans="1:3" x14ac:dyDescent="0.35">
      <c r="A321" s="1" t="str">
        <f t="shared" si="4"/>
        <v>J) Características de los contenedores</v>
      </c>
      <c r="B321" t="s">
        <v>1016</v>
      </c>
      <c r="C321" t="s">
        <v>1631</v>
      </c>
    </row>
    <row r="322" spans="1:3" x14ac:dyDescent="0.35">
      <c r="A322" s="1" t="str">
        <f t="shared" ref="A322:A385" si="5">HLOOKUP($A$1,B:K,ROW(A322),0)</f>
        <v>Para escenario de recolección mixta con contenedores (C)</v>
      </c>
      <c r="B322" t="s">
        <v>1017</v>
      </c>
      <c r="C322" t="s">
        <v>659</v>
      </c>
    </row>
    <row r="323" spans="1:3" x14ac:dyDescent="0.35">
      <c r="A323" s="1" t="str">
        <f t="shared" si="5"/>
        <v>Volumen de los contenedores de residuos mixtos (desechos) [m3]</v>
      </c>
      <c r="B323" t="s">
        <v>1018</v>
      </c>
      <c r="C323" t="s">
        <v>256</v>
      </c>
    </row>
    <row r="324" spans="1:3" x14ac:dyDescent="0.35">
      <c r="A324" s="1" t="str">
        <f t="shared" si="5"/>
        <v>Tasa promedio de llenado de contenedores de residuos mixtos (desechos) [%]</v>
      </c>
      <c r="B324" t="s">
        <v>1019</v>
      </c>
      <c r="C324" t="s">
        <v>257</v>
      </c>
    </row>
    <row r="325" spans="1:3" x14ac:dyDescent="0.35">
      <c r="A325" s="1" t="str">
        <f t="shared" si="5"/>
        <v>Para escenario de recolección diferenciada con contenedores (D)</v>
      </c>
      <c r="B325" t="s">
        <v>1020</v>
      </c>
      <c r="C325" t="s">
        <v>660</v>
      </c>
    </row>
    <row r="326" spans="1:3" x14ac:dyDescent="0.35">
      <c r="A326" s="1" t="str">
        <f t="shared" si="5"/>
        <v>Volumen de los contenedores de residuos mixtos (desechos) [m3]</v>
      </c>
      <c r="B326" t="s">
        <v>1018</v>
      </c>
      <c r="C326" t="s">
        <v>256</v>
      </c>
    </row>
    <row r="327" spans="1:3" x14ac:dyDescent="0.35">
      <c r="A327" s="1" t="str">
        <f t="shared" si="5"/>
        <v>Tasa promedio de llenado de contenedores de residuos mixtos (desechos) [%]</v>
      </c>
      <c r="B327" t="s">
        <v>1019</v>
      </c>
      <c r="C327" t="s">
        <v>257</v>
      </c>
    </row>
    <row r="328" spans="1:3" x14ac:dyDescent="0.35">
      <c r="A328" s="1" t="str">
        <f t="shared" si="5"/>
        <v>Volumen de los contenedores de reciclables [m3]</v>
      </c>
      <c r="B328" t="s">
        <v>1023</v>
      </c>
      <c r="C328" t="s">
        <v>258</v>
      </c>
    </row>
    <row r="329" spans="1:3" x14ac:dyDescent="0.35">
      <c r="A329" s="1" t="str">
        <f t="shared" si="5"/>
        <v>Tasa promedio de llenado de contenedores de reciclables [%]</v>
      </c>
      <c r="B329" t="s">
        <v>1513</v>
      </c>
      <c r="C329" t="s">
        <v>259</v>
      </c>
    </row>
    <row r="330" spans="1:3" x14ac:dyDescent="0.35">
      <c r="A330" s="1" t="str">
        <f t="shared" si="5"/>
        <v>Volumen de los contenedores de orgánicos [m3]</v>
      </c>
      <c r="B330" t="s">
        <v>1021</v>
      </c>
      <c r="C330" t="s">
        <v>1632</v>
      </c>
    </row>
    <row r="331" spans="1:3" x14ac:dyDescent="0.35">
      <c r="A331" s="1" t="str">
        <f t="shared" si="5"/>
        <v>Tasa promedio de llenado de contenedores de orgánicos [%]</v>
      </c>
      <c r="B331" t="s">
        <v>1022</v>
      </c>
      <c r="C331" t="s">
        <v>1633</v>
      </c>
    </row>
    <row r="332" spans="1:3" x14ac:dyDescent="0.35">
      <c r="A332" s="1" t="str">
        <f t="shared" si="5"/>
        <v>Eficiencia de separación de reciclables en la fuente [%]</v>
      </c>
      <c r="B332" t="s">
        <v>1514</v>
      </c>
      <c r="C332" t="s">
        <v>1024</v>
      </c>
    </row>
    <row r="333" spans="1:3" x14ac:dyDescent="0.35">
      <c r="A333" s="1" t="str">
        <f t="shared" si="5"/>
        <v>Eficiencia de separación de orgánicos en la fuente [%]</v>
      </c>
      <c r="B333" t="s">
        <v>1515</v>
      </c>
      <c r="C333" t="s">
        <v>1025</v>
      </c>
    </row>
    <row r="334" spans="1:3" x14ac:dyDescent="0.35">
      <c r="A334" s="1" t="str">
        <f t="shared" si="5"/>
        <v>Por defecto = 1.1</v>
      </c>
      <c r="B334" t="s">
        <v>1234</v>
      </c>
      <c r="C334" t="s">
        <v>159</v>
      </c>
    </row>
    <row r="335" spans="1:3" x14ac:dyDescent="0.35">
      <c r="A335" s="1" t="str">
        <f t="shared" si="5"/>
        <v>Por defecto = 80</v>
      </c>
      <c r="B335" t="s">
        <v>1235</v>
      </c>
      <c r="C335" t="s">
        <v>593</v>
      </c>
    </row>
    <row r="336" spans="1:3" x14ac:dyDescent="0.35">
      <c r="A336" s="1" t="str">
        <f t="shared" si="5"/>
        <v>Por defecto = 1.1</v>
      </c>
      <c r="B336" t="s">
        <v>1234</v>
      </c>
      <c r="C336" t="s">
        <v>159</v>
      </c>
    </row>
    <row r="337" spans="1:3" ht="43.5" x14ac:dyDescent="0.35">
      <c r="A337" s="1" t="str">
        <f t="shared" si="5"/>
        <v>Por defecto = 80%
Imperativo ser menos de 100% porque es un promedio - si es 100 entonces los contenedores rebasarán de forma regular.</v>
      </c>
      <c r="B337" s="1" t="s">
        <v>1236</v>
      </c>
      <c r="C337" s="1" t="s">
        <v>569</v>
      </c>
    </row>
    <row r="338" spans="1:3" x14ac:dyDescent="0.35">
      <c r="A338" s="1" t="str">
        <f t="shared" si="5"/>
        <v>Por defecto = 1.1</v>
      </c>
      <c r="B338" t="s">
        <v>1234</v>
      </c>
      <c r="C338" t="s">
        <v>159</v>
      </c>
    </row>
    <row r="339" spans="1:3" ht="43.5" x14ac:dyDescent="0.35">
      <c r="A339" s="1" t="str">
        <f t="shared" si="5"/>
        <v>Por defecto = 80%
Imperativo ser menos de 100% porque es un promedio - si es 100 entonces los contenedores rebasarán de forma regular.</v>
      </c>
      <c r="B339" s="1" t="s">
        <v>1236</v>
      </c>
      <c r="C339" s="1" t="s">
        <v>569</v>
      </c>
    </row>
    <row r="340" spans="1:3" x14ac:dyDescent="0.35">
      <c r="A340" s="1" t="str">
        <f t="shared" si="5"/>
        <v>Por defecto = 1.1</v>
      </c>
      <c r="B340" t="s">
        <v>1234</v>
      </c>
      <c r="C340" t="s">
        <v>159</v>
      </c>
    </row>
    <row r="341" spans="1:3" ht="43.5" x14ac:dyDescent="0.35">
      <c r="A341" s="1" t="str">
        <f t="shared" si="5"/>
        <v>Por defecto = 80%
Imperativo ser menos de 100% porque es un promedio - si es 100 entonces los contenedores rebasarán de forma regular.</v>
      </c>
      <c r="B341" s="1" t="s">
        <v>1236</v>
      </c>
      <c r="C341" s="1" t="s">
        <v>569</v>
      </c>
    </row>
    <row r="342" spans="1:3" ht="43.5" x14ac:dyDescent="0.35">
      <c r="A342" s="1" t="str">
        <f t="shared" si="5"/>
        <v>Por defecto = 80%
Es la proporción de reciclables totales que se logra separar por los generadores de residuos en la fuente</v>
      </c>
      <c r="B342" s="1" t="s">
        <v>1237</v>
      </c>
      <c r="C342" s="1" t="s">
        <v>1026</v>
      </c>
    </row>
    <row r="343" spans="1:3" ht="43.5" x14ac:dyDescent="0.35">
      <c r="A343" s="1" t="str">
        <f t="shared" si="5"/>
        <v>Por defecto = 80%
Es la proporción de orgánicos totales que se logra separar por los generadores de residuos en la fuente</v>
      </c>
      <c r="B343" s="1" t="s">
        <v>1238</v>
      </c>
      <c r="C343" s="1" t="s">
        <v>1027</v>
      </c>
    </row>
    <row r="344" spans="1:3" x14ac:dyDescent="0.35">
      <c r="A344" s="1" t="str">
        <f t="shared" si="5"/>
        <v>K) Barrido/Limpieza urbana</v>
      </c>
      <c r="B344" s="1" t="s">
        <v>1028</v>
      </c>
      <c r="C344" t="s">
        <v>1413</v>
      </c>
    </row>
    <row r="345" spans="1:3" x14ac:dyDescent="0.35">
      <c r="A345" s="1" t="str">
        <f t="shared" si="5"/>
        <v>Barrido de vías con servicio manual</v>
      </c>
      <c r="B345" s="1" t="s">
        <v>1029</v>
      </c>
      <c r="C345" t="s">
        <v>615</v>
      </c>
    </row>
    <row r="346" spans="1:3" x14ac:dyDescent="0.35">
      <c r="A346" s="1" t="str">
        <f t="shared" si="5"/>
        <v>Frecuencia del servicio de barrido por semana [limpiezas/semana]</v>
      </c>
      <c r="B346" s="1" t="s">
        <v>1030</v>
      </c>
      <c r="C346" t="s">
        <v>772</v>
      </c>
    </row>
    <row r="347" spans="1:3" x14ac:dyDescent="0.35">
      <c r="A347" s="1" t="str">
        <f t="shared" si="5"/>
        <v>Longitud de vías pavimentadas con servicio de barrido manual [km]</v>
      </c>
      <c r="B347" s="1" t="s">
        <v>1031</v>
      </c>
      <c r="C347" t="s">
        <v>616</v>
      </c>
    </row>
    <row r="348" spans="1:3" x14ac:dyDescent="0.35">
      <c r="A348" s="1" t="str">
        <f t="shared" si="5"/>
        <v>Eficiencia</v>
      </c>
      <c r="B348" s="1" t="s">
        <v>1569</v>
      </c>
      <c r="C348" t="s">
        <v>560</v>
      </c>
    </row>
    <row r="349" spans="1:3" x14ac:dyDescent="0.35">
      <c r="A349" s="1" t="str">
        <f t="shared" si="5"/>
        <v>Rendimiento de barrido [km/barrendero*día]</v>
      </c>
      <c r="B349" s="1" t="s">
        <v>1032</v>
      </c>
      <c r="C349" t="s">
        <v>774</v>
      </c>
    </row>
    <row r="350" spans="1:3" x14ac:dyDescent="0.35">
      <c r="A350" s="1" t="str">
        <f t="shared" si="5"/>
        <v>Buena</v>
      </c>
      <c r="B350" s="1" t="s">
        <v>1033</v>
      </c>
      <c r="C350" t="s">
        <v>562</v>
      </c>
    </row>
    <row r="351" spans="1:3" x14ac:dyDescent="0.35">
      <c r="A351" s="1" t="str">
        <f t="shared" si="5"/>
        <v>Media</v>
      </c>
      <c r="B351" s="1" t="s">
        <v>1035</v>
      </c>
      <c r="C351" t="s">
        <v>561</v>
      </c>
    </row>
    <row r="352" spans="1:3" x14ac:dyDescent="0.35">
      <c r="A352" s="1" t="str">
        <f t="shared" si="5"/>
        <v>Mala</v>
      </c>
      <c r="B352" s="1" t="s">
        <v>1034</v>
      </c>
      <c r="C352" t="s">
        <v>563</v>
      </c>
    </row>
    <row r="353" spans="1:3" x14ac:dyDescent="0.35">
      <c r="A353" s="1" t="str">
        <f t="shared" si="5"/>
        <v>Barrido de vías con servicio mecanizado</v>
      </c>
      <c r="B353" s="1" t="s">
        <v>1037</v>
      </c>
      <c r="C353" t="s">
        <v>617</v>
      </c>
    </row>
    <row r="354" spans="1:3" x14ac:dyDescent="0.35">
      <c r="A354" s="1" t="str">
        <f t="shared" si="5"/>
        <v>Frecuencia del servicio barrido mecánico por semana [limpiezas/semana]</v>
      </c>
      <c r="B354" s="1" t="s">
        <v>1030</v>
      </c>
      <c r="C354" t="s">
        <v>1636</v>
      </c>
    </row>
    <row r="355" spans="1:3" x14ac:dyDescent="0.35">
      <c r="A355" s="1" t="str">
        <f t="shared" si="5"/>
        <v>Longitud de vías pavimentadas con servicio de barrido mecanizado [km]</v>
      </c>
      <c r="B355" s="1" t="s">
        <v>1036</v>
      </c>
      <c r="C355" t="s">
        <v>618</v>
      </c>
    </row>
    <row r="356" spans="1:3" x14ac:dyDescent="0.35">
      <c r="A356" s="1" t="str">
        <f t="shared" si="5"/>
        <v>Costo de la barredora [$$$]</v>
      </c>
      <c r="B356" s="1" t="str">
        <f>_xlfn.CONCAT("Costs of the sweeper [",Info!C5,"]")</f>
        <v>Costs of the sweeper [$$$]</v>
      </c>
      <c r="C356" t="str">
        <f>_xlfn.CONCAT("Costo de la barredora [",Info!C5,"]")</f>
        <v>Costo de la barredora [$$$]</v>
      </c>
    </row>
    <row r="357" spans="1:3" x14ac:dyDescent="0.35">
      <c r="A357" s="1" t="str">
        <f t="shared" si="5"/>
        <v>Tiempo de vida de vehículo utilizado [años]</v>
      </c>
      <c r="B357" s="1" t="s">
        <v>1038</v>
      </c>
      <c r="C357" t="s">
        <v>1581</v>
      </c>
    </row>
    <row r="358" spans="1:3" x14ac:dyDescent="0.35">
      <c r="A358" s="1" t="str">
        <f t="shared" si="5"/>
        <v>Rendimiento barredora [km/barredora*día]</v>
      </c>
      <c r="B358" s="1" t="s">
        <v>1032</v>
      </c>
      <c r="C358" t="s">
        <v>773</v>
      </c>
    </row>
    <row r="359" spans="1:3" x14ac:dyDescent="0.35">
      <c r="A359" s="1" t="str">
        <f t="shared" si="5"/>
        <v>Limpieza de áreas públicas (plazas y otros)</v>
      </c>
      <c r="B359" s="1" t="s">
        <v>1039</v>
      </c>
      <c r="C359" t="s">
        <v>1600</v>
      </c>
    </row>
    <row r="360" spans="1:3" x14ac:dyDescent="0.35">
      <c r="A360" s="1" t="str">
        <f t="shared" si="5"/>
        <v>Frecuencia del servicio por semana [limpiezas/semana]</v>
      </c>
      <c r="B360" s="1" t="s">
        <v>1030</v>
      </c>
      <c r="C360" t="s">
        <v>243</v>
      </c>
    </row>
    <row r="361" spans="1:3" x14ac:dyDescent="0.35">
      <c r="A361" s="1" t="str">
        <f t="shared" si="5"/>
        <v>Superficie de áreas públicas con servicio de barrido/limpieza urbana (plazas, parques, …) [m2]</v>
      </c>
      <c r="B361" s="1" t="s">
        <v>1664</v>
      </c>
      <c r="C361" t="s">
        <v>1637</v>
      </c>
    </row>
    <row r="362" spans="1:3" x14ac:dyDescent="0.35">
      <c r="A362" s="1" t="str">
        <f t="shared" si="5"/>
        <v>Superficie de áreas públicas con servicio de limpieza urbana [km2]</v>
      </c>
      <c r="B362" s="1" t="s">
        <v>1665</v>
      </c>
      <c r="C362" t="s">
        <v>1638</v>
      </c>
    </row>
    <row r="363" spans="1:3" x14ac:dyDescent="0.35">
      <c r="A363" s="1" t="str">
        <f t="shared" si="5"/>
        <v>Eficiencia</v>
      </c>
      <c r="B363" s="1" t="s">
        <v>1569</v>
      </c>
      <c r="C363" t="s">
        <v>560</v>
      </c>
    </row>
    <row r="364" spans="1:3" x14ac:dyDescent="0.35">
      <c r="A364" s="1" t="str">
        <f t="shared" si="5"/>
        <v>Rendimiento limpieza áreas públicas [hectáreas/barrendero*día]</v>
      </c>
      <c r="B364" s="1" t="s">
        <v>1516</v>
      </c>
      <c r="C364" t="s">
        <v>1639</v>
      </c>
    </row>
    <row r="365" spans="1:3" x14ac:dyDescent="0.35">
      <c r="A365" s="1" t="str">
        <f t="shared" si="5"/>
        <v>Rendimiento limpieza áreas públicas [m2/barrendero*día]</v>
      </c>
      <c r="B365" s="1" t="s">
        <v>1041</v>
      </c>
      <c r="C365" t="s">
        <v>1040</v>
      </c>
    </row>
    <row r="366" spans="1:3" x14ac:dyDescent="0.35">
      <c r="A366" s="1" t="str">
        <f t="shared" si="5"/>
        <v>Cantidad de basureros públicos []</v>
      </c>
      <c r="B366" s="1" t="s">
        <v>1042</v>
      </c>
      <c r="C366" t="s">
        <v>1640</v>
      </c>
    </row>
    <row r="367" spans="1:3" x14ac:dyDescent="0.35">
      <c r="A367" s="1" t="str">
        <f t="shared" si="5"/>
        <v>Costo unitario de basureros públicos [$$$]</v>
      </c>
      <c r="B367" s="1" t="str">
        <f>CONCATENATE("Cost of dustbins per unit [",Info!C5,"]")</f>
        <v>Cost of dustbins per unit [$$$]</v>
      </c>
      <c r="C367" t="str">
        <f>_xlfn.CONCAT("Costo unitario de basureros públicos [",Info!C5,"]")</f>
        <v>Costo unitario de basureros públicos [$$$]</v>
      </c>
    </row>
    <row r="368" spans="1:3" x14ac:dyDescent="0.35">
      <c r="A368" s="1" t="str">
        <f t="shared" si="5"/>
        <v>Tiempo de vida de basureros públicos [años]</v>
      </c>
      <c r="B368" s="1" t="s">
        <v>1043</v>
      </c>
      <c r="C368" t="s">
        <v>619</v>
      </c>
    </row>
    <row r="369" spans="1:3" x14ac:dyDescent="0.35">
      <c r="A369" s="1" t="str">
        <f t="shared" si="5"/>
        <v>Costos de personal y materiales</v>
      </c>
      <c r="B369" s="1" t="s">
        <v>1044</v>
      </c>
      <c r="C369" t="s">
        <v>1641</v>
      </c>
    </row>
    <row r="370" spans="1:3" x14ac:dyDescent="0.35">
      <c r="A370" s="1" t="str">
        <f t="shared" si="5"/>
        <v>Costos de materiales y equipo por kilómetro de vía con barrido manual [$$$/km]</v>
      </c>
      <c r="B370" s="1" t="str">
        <f>CONCATENATE("Costs of materials and equipment per kilometre of road with manual sweeping [",Info!C5,"/km]")</f>
        <v>Costs of materials and equipment per kilometre of road with manual sweeping [$$$/km]</v>
      </c>
      <c r="C370" t="str">
        <f>_xlfn.CONCAT("Costos de materiales y equipo por kilómetro de vía con barrido manual [",Info!C5,"/km]")</f>
        <v>Costos de materiales y equipo por kilómetro de vía con barrido manual [$$$/km]</v>
      </c>
    </row>
    <row r="371" spans="1:3" x14ac:dyDescent="0.35">
      <c r="A371" s="1" t="str">
        <f t="shared" si="5"/>
        <v>Costos de materiales y equipo por kilómetro de vía barrido mecánico [$$$/km]</v>
      </c>
      <c r="B371" s="1" t="str">
        <f>CONCATENATE("Costs of materials and equipment per kilometre of road with mechanised sweeping [",Info!C5,"/km]")</f>
        <v>Costs of materials and equipment per kilometre of road with mechanised sweeping [$$$/km]</v>
      </c>
      <c r="C371" t="str">
        <f>_xlfn.CONCAT("Costos de materiales y equipo por kilómetro de vía barrido mecánico [",Info!C5,"/km]")</f>
        <v>Costos de materiales y equipo por kilómetro de vía barrido mecánico [$$$/km]</v>
      </c>
    </row>
    <row r="372" spans="1:3" x14ac:dyDescent="0.35">
      <c r="A372" s="1" t="str">
        <f t="shared" si="5"/>
        <v>Costos de materiales y equipo por hectárea de área pública barrida [$$$/hectárea]</v>
      </c>
      <c r="B372" s="1" t="str">
        <f>CONCATENATE("Costs of materials and equipment per hectare of public area swept [",Info!C5,"/hectares]")</f>
        <v>Costs of materials and equipment per hectare of public area swept [$$$/hectares]</v>
      </c>
      <c r="C372" t="str">
        <f>_xlfn.CONCAT("Costos de materiales y equipo por hectárea de área pública barrida [",Info!C5,"/hectárea]")</f>
        <v>Costos de materiales y equipo por hectárea de área pública barrida [$$$/hectárea]</v>
      </c>
    </row>
    <row r="373" spans="1:3" x14ac:dyDescent="0.35">
      <c r="A373" s="1" t="str">
        <f t="shared" si="5"/>
        <v>Costos de materiales y equipo por m2 de área pública barrida [$$$/m2]</v>
      </c>
      <c r="B373" s="1" t="str">
        <f>_xlfn.CONCAT("Costs of materials and equipment per square meter of public area swept [",Info!C5,"/m2]")</f>
        <v>Costs of materials and equipment per square meter of public area swept [$$$/m2]</v>
      </c>
      <c r="C373" t="str">
        <f>_xlfn.CONCAT("Costos de materiales y equipo por m2 de área pública barrida [",Info!C5,"/m2]")</f>
        <v>Costos de materiales y equipo por m2 de área pública barrida [$$$/m2]</v>
      </c>
    </row>
    <row r="374" spans="1:3" x14ac:dyDescent="0.35">
      <c r="A374" s="1" t="str">
        <f t="shared" si="5"/>
        <v>Salario y beneficios sociales anuales para jefa/e de equipo de barrido/limpieza urbana [$$$/año]</v>
      </c>
      <c r="B374" s="1" t="str">
        <f>_xlfn.CONCAT("Salary and benefits per year for team leaders [",Info!C5,"/year]")</f>
        <v>Salary and benefits per year for team leaders [$$$/year]</v>
      </c>
      <c r="C374" t="str">
        <f>_xlfn.CONCAT("Salario y beneficios sociales anuales para jefa/e de equipo de barrido/limpieza urbana [",Info!C5,"/año]")</f>
        <v>Salario y beneficios sociales anuales para jefa/e de equipo de barrido/limpieza urbana [$$$/año]</v>
      </c>
    </row>
    <row r="375" spans="1:3" x14ac:dyDescent="0.35">
      <c r="A375" s="1" t="str">
        <f t="shared" si="5"/>
        <v>Otros costos anuales para jefa/e de equipo de limpieza urbana [$$$/año]</v>
      </c>
      <c r="B375" s="1" t="str">
        <f>_xlfn.CONCAT("Other costs per year for team leaders [",Info!C5,"/year]")</f>
        <v>Other costs per year for team leaders [$$$/year]</v>
      </c>
      <c r="C375" t="str">
        <f>_xlfn.CONCAT("Otros costos anuales para jefa/e de equipo de limpieza urbana [",Info!C5,"/año]")</f>
        <v>Otros costos anuales para jefa/e de equipo de limpieza urbana [$$$/año]</v>
      </c>
    </row>
    <row r="376" spans="1:3" x14ac:dyDescent="0.35">
      <c r="A376" s="1" t="str">
        <f t="shared" si="5"/>
        <v>Salario y beneficios sociales anuales para trabajador/a de barrido/limpieza urbana [$$$/año]</v>
      </c>
      <c r="B376" s="1" t="str">
        <f>_xlfn.CONCAT("Salary and benefits per year for workers [",Info!C5,"/year]")</f>
        <v>Salary and benefits per year for workers [$$$/year]</v>
      </c>
      <c r="C376" t="str">
        <f>_xlfn.CONCAT("Salario y beneficios sociales anuales para trabajador/a de barrido/limpieza urbana [",Info!C5,"/año]")</f>
        <v>Salario y beneficios sociales anuales para trabajador/a de barrido/limpieza urbana [$$$/año]</v>
      </c>
    </row>
    <row r="377" spans="1:3" x14ac:dyDescent="0.35">
      <c r="A377" s="1" t="str">
        <f t="shared" si="5"/>
        <v>Otros costos anuales para trabajador/a de limpieza urbana [$$$/año]</v>
      </c>
      <c r="B377" s="1" t="str">
        <f>_xlfn.CONCAT("Other costs per year for team workers [",Info!C5,"/year]")</f>
        <v>Other costs per year for team workers [$$$/year]</v>
      </c>
      <c r="C377" t="str">
        <f>_xlfn.CONCAT("Otros costos anuales para trabajador/a de limpieza urbana [",Info!C5,"/año]")</f>
        <v>Otros costos anuales para trabajador/a de limpieza urbana [$$$/año]</v>
      </c>
    </row>
    <row r="378" spans="1:3" x14ac:dyDescent="0.35">
      <c r="A378" s="1" t="str">
        <f t="shared" si="5"/>
        <v>Valores indicativos: de 10 a 40 km/persona*día, depende del vehículo utilizado</v>
      </c>
      <c r="B378" s="1" t="s">
        <v>1045</v>
      </c>
      <c r="C378" t="s">
        <v>1582</v>
      </c>
    </row>
    <row r="379" spans="1:3" ht="43.5" x14ac:dyDescent="0.35">
      <c r="A379" s="1" t="str">
        <f t="shared" si="5"/>
        <v>Materiales como bolsas, equipos como carretillas, pallas etc. Costos de uso de vehículos se incluyen también aquí.
Por defecto = 0.3 USD</v>
      </c>
      <c r="B379" s="1" t="s">
        <v>1517</v>
      </c>
      <c r="C379" s="1" t="s">
        <v>1642</v>
      </c>
    </row>
    <row r="380" spans="1:3" ht="29" x14ac:dyDescent="0.35">
      <c r="A380" s="1" t="str">
        <f t="shared" si="5"/>
        <v>Debe incluir uso y mantenimiento de vehículos (no el costo capital). Por defecto = 1 USD</v>
      </c>
      <c r="B380" s="1" t="s">
        <v>1445</v>
      </c>
      <c r="C380" t="s">
        <v>1583</v>
      </c>
    </row>
    <row r="381" spans="1:3" x14ac:dyDescent="0.35">
      <c r="A381" s="1" t="str">
        <f t="shared" si="5"/>
        <v>Por defecto = 0.6 USD</v>
      </c>
      <c r="B381" s="1" t="s">
        <v>1446</v>
      </c>
      <c r="C381" t="s">
        <v>1447</v>
      </c>
    </row>
    <row r="382" spans="1:3" x14ac:dyDescent="0.35">
      <c r="A382" s="1" t="str">
        <f t="shared" si="5"/>
        <v>Incluye materiales, suministros varios y equipo personal</v>
      </c>
      <c r="B382" s="1" t="s">
        <v>1046</v>
      </c>
      <c r="C382" t="s">
        <v>559</v>
      </c>
    </row>
    <row r="383" spans="1:3" x14ac:dyDescent="0.35">
      <c r="A383" s="1" t="str">
        <f t="shared" si="5"/>
        <v>Incluye materiales, suministros varios y equipo personal</v>
      </c>
      <c r="B383" s="1" t="s">
        <v>1046</v>
      </c>
      <c r="C383" t="s">
        <v>559</v>
      </c>
    </row>
    <row r="384" spans="1:3" x14ac:dyDescent="0.35">
      <c r="A384" s="1" t="str">
        <f t="shared" si="5"/>
        <v>L) Compostaje, reciclaje y disposición final</v>
      </c>
      <c r="B384" s="1" t="s">
        <v>1047</v>
      </c>
      <c r="C384" t="s">
        <v>655</v>
      </c>
    </row>
    <row r="385" spans="1:3" x14ac:dyDescent="0.35">
      <c r="A385" s="1" t="str">
        <f t="shared" si="5"/>
        <v>Compostaje</v>
      </c>
      <c r="B385" s="1" t="s">
        <v>846</v>
      </c>
      <c r="C385" t="s">
        <v>361</v>
      </c>
    </row>
    <row r="386" spans="1:3" ht="29" x14ac:dyDescent="0.35">
      <c r="A386" s="1" t="str">
        <f t="shared" ref="A386:A449" si="6">HLOOKUP($A$1,B:K,ROW(A386),0)</f>
        <v>Costos estimados de compostaje (operación, mantenimiento e inversión) por tonelada de residuos orgánicos entrantes a planta de compostaje [$$$/ton]</v>
      </c>
      <c r="B386" s="1" t="str">
        <f>_xlfn.CONCAT("Estimated costs for composting (operations, maintenance and investment) per ton of organic waste entering the plant [",Info!C5,"/ton]")</f>
        <v>Estimated costs for composting (operations, maintenance and investment) per ton of organic waste entering the plant [$$$/ton]</v>
      </c>
      <c r="C386" s="1" t="str">
        <f>_xlfn.CONCAT("Costos estimados de compostaje (operación, mantenimiento e inversión) por tonelada de residuos orgánicos entrantes a planta de compostaje [",Info!C5,"/ton]")</f>
        <v>Costos estimados de compostaje (operación, mantenimiento e inversión) por tonelada de residuos orgánicos entrantes a planta de compostaje [$$$/ton]</v>
      </c>
    </row>
    <row r="387" spans="1:3" x14ac:dyDescent="0.35">
      <c r="A387" s="1" t="str">
        <f t="shared" si="6"/>
        <v>Ingresos estimados por la venta del material compostado [$$$/ton]</v>
      </c>
      <c r="B387" s="1" t="str">
        <f>_xlfn.CONCAT("Income from compost sales [",Info!C5,"/ton]")</f>
        <v>Income from compost sales [$$$/ton]</v>
      </c>
      <c r="C387" t="str">
        <f>_xlfn.CONCAT("Ingresos estimados por la venta del material compostado [",Info!C5,"/ton]")</f>
        <v>Ingresos estimados por la venta del material compostado [$$$/ton]</v>
      </c>
    </row>
    <row r="388" spans="1:3" x14ac:dyDescent="0.35">
      <c r="A388" s="1" t="str">
        <f t="shared" si="6"/>
        <v>Reciclaje</v>
      </c>
      <c r="B388" s="1" t="s">
        <v>1048</v>
      </c>
      <c r="C388" t="s">
        <v>598</v>
      </c>
    </row>
    <row r="389" spans="1:3" ht="29" x14ac:dyDescent="0.35">
      <c r="A389" s="1" t="str">
        <f t="shared" si="6"/>
        <v>Costos estimados de gestión de reciclables (operación, mantenimiento e inversión) por tonelada de residuos reciclables entrantes a planta de gestión de reciclables [$$$/ton]</v>
      </c>
      <c r="B389" s="1" t="str">
        <f>CONCATENATE("Estimated costs for recyclable management (operations, maintenance and investment) per ton of recyclable waste entering the plant [",Info!C5,"/ton]")</f>
        <v>Estimated costs for recyclable management (operations, maintenance and investment) per ton of recyclable waste entering the plant [$$$/ton]</v>
      </c>
      <c r="C389" s="1" t="str">
        <f>_xlfn.CONCAT("Costos estimados de gestión de reciclables (operación, mantenimiento e inversión) por tonelada de residuos reciclables entrantes a planta de gestión de reciclables [",Info!C5,"/ton]")</f>
        <v>Costos estimados de gestión de reciclables (operación, mantenimiento e inversión) por tonelada de residuos reciclables entrantes a planta de gestión de reciclables [$$$/ton]</v>
      </c>
    </row>
    <row r="390" spans="1:3" x14ac:dyDescent="0.35">
      <c r="A390" s="1" t="str">
        <f t="shared" si="6"/>
        <v>Ingresos estimados por la venta del material clasificado [$$$/ton]</v>
      </c>
      <c r="B390" s="1" t="str">
        <f>CONCATENATE("Income from recyclables sales [",Info!C5,"/ton]")</f>
        <v>Income from recyclables sales [$$$/ton]</v>
      </c>
      <c r="C390" t="str">
        <f>_xlfn.CONCAT("Ingresos estimados por la venta del material clasificado [",Info!C5,"/ton]")</f>
        <v>Ingresos estimados por la venta del material clasificado [$$$/ton]</v>
      </c>
    </row>
    <row r="391" spans="1:3" x14ac:dyDescent="0.35">
      <c r="A391" s="1" t="str">
        <f t="shared" si="6"/>
        <v>Disposición final</v>
      </c>
      <c r="B391" s="1" t="s">
        <v>805</v>
      </c>
      <c r="C391" t="s">
        <v>599</v>
      </c>
    </row>
    <row r="392" spans="1:3" x14ac:dyDescent="0.35">
      <c r="A392" s="1" t="str">
        <f t="shared" si="6"/>
        <v>Costos estimados de disposición final (operación, mantenimiento y inversión) por tonelada $$$/ton]</v>
      </c>
      <c r="B392" s="1" t="str">
        <f>_xlfn.CONCAT("Estimated costs for final disposal (operation, maintenance and investments) per ton [",Info!C5,"/ton]")</f>
        <v>Estimated costs for final disposal (operation, maintenance and investments) per ton [$$$/ton]</v>
      </c>
      <c r="C392" t="str">
        <f>_xlfn.CONCAT("Costos estimados de disposición final (operación, mantenimiento y inversión) por tonelada ",Info!C5,"/ton]")</f>
        <v>Costos estimados de disposición final (operación, mantenimiento y inversión) por tonelada $$$/ton]</v>
      </c>
    </row>
    <row r="393" spans="1:3" x14ac:dyDescent="0.35">
      <c r="A393" s="1" t="str">
        <f t="shared" si="6"/>
        <v>Por defecto = 20 USD</v>
      </c>
      <c r="B393" s="1" t="s">
        <v>1449</v>
      </c>
      <c r="C393" t="s">
        <v>1451</v>
      </c>
    </row>
    <row r="394" spans="1:3" x14ac:dyDescent="0.35">
      <c r="A394" s="1" t="str">
        <f t="shared" si="6"/>
        <v>Por defecto = 2 USD</v>
      </c>
      <c r="B394" s="1" t="s">
        <v>1448</v>
      </c>
      <c r="C394" t="s">
        <v>1452</v>
      </c>
    </row>
    <row r="395" spans="1:3" x14ac:dyDescent="0.35">
      <c r="A395" s="1" t="str">
        <f t="shared" si="6"/>
        <v>Por defecto = 20 USD</v>
      </c>
      <c r="B395" s="1" t="s">
        <v>1449</v>
      </c>
      <c r="C395" t="s">
        <v>1451</v>
      </c>
    </row>
    <row r="396" spans="1:3" x14ac:dyDescent="0.35">
      <c r="A396" s="1" t="str">
        <f t="shared" si="6"/>
        <v>Por defecto = 14 USD</v>
      </c>
      <c r="B396" s="1" t="s">
        <v>1450</v>
      </c>
      <c r="C396" t="s">
        <v>1453</v>
      </c>
    </row>
    <row r="397" spans="1:3" x14ac:dyDescent="0.35">
      <c r="A397" s="1" t="str">
        <f t="shared" si="6"/>
        <v>Por defecto = 20 USD</v>
      </c>
      <c r="B397" s="1" t="s">
        <v>1449</v>
      </c>
      <c r="C397" t="s">
        <v>1451</v>
      </c>
    </row>
    <row r="398" spans="1:3" x14ac:dyDescent="0.35">
      <c r="A398" s="1" t="str">
        <f t="shared" si="6"/>
        <v>M) Administración, planificación y monitoreo y formación, educación y comunicación</v>
      </c>
      <c r="B398" s="1" t="s">
        <v>1518</v>
      </c>
      <c r="C398" t="s">
        <v>1643</v>
      </c>
    </row>
    <row r="399" spans="1:3" x14ac:dyDescent="0.35">
      <c r="A399" s="1" t="str">
        <f t="shared" si="6"/>
        <v>Por defecto = 10</v>
      </c>
      <c r="B399" s="1" t="s">
        <v>1392</v>
      </c>
      <c r="C399" t="s">
        <v>1393</v>
      </c>
    </row>
    <row r="400" spans="1:3" x14ac:dyDescent="0.35">
      <c r="A400" s="1" t="str">
        <f t="shared" si="6"/>
        <v>Por defecto = 2</v>
      </c>
      <c r="B400" s="1" t="s">
        <v>1205</v>
      </c>
      <c r="C400" t="s">
        <v>167</v>
      </c>
    </row>
    <row r="401" spans="1:3" x14ac:dyDescent="0.35">
      <c r="A401" s="1" t="str">
        <f t="shared" si="6"/>
        <v>Por defecto = 5</v>
      </c>
      <c r="B401" s="1" t="s">
        <v>1394</v>
      </c>
      <c r="C401" t="s">
        <v>161</v>
      </c>
    </row>
    <row r="402" spans="1:3" x14ac:dyDescent="0.35">
      <c r="A402" s="1" t="str">
        <f t="shared" si="6"/>
        <v>Cálculos de escenarios</v>
      </c>
      <c r="B402" s="1" t="s">
        <v>1049</v>
      </c>
      <c r="C402" t="s">
        <v>583</v>
      </c>
    </row>
    <row r="403" spans="1:3" ht="72.5" x14ac:dyDescent="0.35">
      <c r="A403" s="1" t="str">
        <f t="shared" si="6"/>
        <v>Indicaciones de uso:
Se puede utilizar la herramienta sin modificar esta pestaña.
Para un uso avanzado de la herramienta: las casillas en gris claro pueden modificarse.</v>
      </c>
      <c r="B403" s="1" t="s">
        <v>1051</v>
      </c>
      <c r="C403" s="1" t="s">
        <v>1050</v>
      </c>
    </row>
    <row r="404" spans="1:3" x14ac:dyDescent="0.35">
      <c r="A404" s="1" t="str">
        <f t="shared" si="6"/>
        <v>¿Se usa estación de transferencia?</v>
      </c>
      <c r="B404" s="1" t="s">
        <v>1052</v>
      </c>
      <c r="C404" t="s">
        <v>1644</v>
      </c>
    </row>
    <row r="405" spans="1:3" x14ac:dyDescent="0.35">
      <c r="A405" s="1" t="str">
        <f t="shared" si="6"/>
        <v>Tipo de recolección</v>
      </c>
      <c r="B405" s="1" t="s">
        <v>1053</v>
      </c>
      <c r="C405" t="s">
        <v>584</v>
      </c>
    </row>
    <row r="406" spans="1:3" x14ac:dyDescent="0.35">
      <c r="A406" s="1" t="str">
        <f t="shared" si="6"/>
        <v>Si</v>
      </c>
      <c r="B406" s="1" t="s">
        <v>818</v>
      </c>
      <c r="C406" t="s">
        <v>100</v>
      </c>
    </row>
    <row r="407" spans="1:3" x14ac:dyDescent="0.35">
      <c r="A407" s="1" t="str">
        <f t="shared" si="6"/>
        <v>No</v>
      </c>
      <c r="B407" s="1" t="s">
        <v>101</v>
      </c>
      <c r="C407" t="s">
        <v>101</v>
      </c>
    </row>
    <row r="408" spans="1:3" x14ac:dyDescent="0.35">
      <c r="A408" s="1" t="str">
        <f t="shared" si="6"/>
        <v>Casa por casa</v>
      </c>
      <c r="B408" s="1" t="s">
        <v>1054</v>
      </c>
      <c r="C408" t="s">
        <v>254</v>
      </c>
    </row>
    <row r="409" spans="1:3" x14ac:dyDescent="0.35">
      <c r="A409" s="1" t="str">
        <f t="shared" si="6"/>
        <v>Esquina</v>
      </c>
      <c r="B409" s="1" t="s">
        <v>1055</v>
      </c>
      <c r="C409" t="s">
        <v>779</v>
      </c>
    </row>
    <row r="410" spans="1:3" x14ac:dyDescent="0.35">
      <c r="A410" s="1" t="str">
        <f t="shared" si="6"/>
        <v>A.1 Recolección por acera</v>
      </c>
      <c r="B410" s="1" t="s">
        <v>1056</v>
      </c>
      <c r="C410" t="s">
        <v>775</v>
      </c>
    </row>
    <row r="411" spans="1:3" x14ac:dyDescent="0.35">
      <c r="A411" s="1" t="str">
        <f t="shared" si="6"/>
        <v>A.2 Recolección por acera</v>
      </c>
      <c r="B411" s="1" t="s">
        <v>1057</v>
      </c>
      <c r="C411" t="s">
        <v>776</v>
      </c>
    </row>
    <row r="412" spans="1:3" x14ac:dyDescent="0.35">
      <c r="A412" s="1" t="str">
        <f t="shared" si="6"/>
        <v>B.1 Recolección por esquina</v>
      </c>
      <c r="B412" s="1" t="s">
        <v>1058</v>
      </c>
      <c r="C412" t="s">
        <v>777</v>
      </c>
    </row>
    <row r="413" spans="1:3" x14ac:dyDescent="0.35">
      <c r="A413" s="1" t="str">
        <f t="shared" si="6"/>
        <v>B.2 Recolección por esquina</v>
      </c>
      <c r="B413" s="1" t="s">
        <v>1059</v>
      </c>
      <c r="C413" t="s">
        <v>778</v>
      </c>
    </row>
    <row r="414" spans="1:3" x14ac:dyDescent="0.35">
      <c r="A414" s="1" t="str">
        <f t="shared" si="6"/>
        <v>C.1 Recolección con contenedores</v>
      </c>
      <c r="B414" s="1" t="s">
        <v>1519</v>
      </c>
      <c r="C414" t="s">
        <v>541</v>
      </c>
    </row>
    <row r="415" spans="1:3" ht="15.75" customHeight="1" x14ac:dyDescent="0.35">
      <c r="A415" s="1" t="str">
        <f t="shared" si="6"/>
        <v>C.2 Recolección con contenedores</v>
      </c>
      <c r="B415" s="1" t="s">
        <v>1060</v>
      </c>
      <c r="C415" t="s">
        <v>542</v>
      </c>
    </row>
    <row r="416" spans="1:3" ht="15.75" customHeight="1" x14ac:dyDescent="0.35">
      <c r="A416" s="1" t="str">
        <f t="shared" si="6"/>
        <v>D.1 Recolección diferenciada con contenedores</v>
      </c>
      <c r="B416" s="1" t="s">
        <v>1061</v>
      </c>
      <c r="C416" t="s">
        <v>543</v>
      </c>
    </row>
    <row r="417" spans="1:3" ht="15.75" customHeight="1" x14ac:dyDescent="0.35">
      <c r="A417" s="1" t="str">
        <f t="shared" si="6"/>
        <v>D.2 Recolección diferenciada con contenedores</v>
      </c>
      <c r="B417" s="1" t="s">
        <v>1062</v>
      </c>
      <c r="C417" t="s">
        <v>544</v>
      </c>
    </row>
    <row r="418" spans="1:3" ht="15.75" customHeight="1" x14ac:dyDescent="0.35">
      <c r="A418" s="1" t="str">
        <f t="shared" si="6"/>
        <v>Desechos</v>
      </c>
      <c r="B418" s="1" t="s">
        <v>1063</v>
      </c>
      <c r="C418" t="s">
        <v>96</v>
      </c>
    </row>
    <row r="419" spans="1:3" ht="15.75" customHeight="1" x14ac:dyDescent="0.35">
      <c r="A419" s="1" t="str">
        <f t="shared" si="6"/>
        <v>Reciclables</v>
      </c>
      <c r="B419" s="1" t="s">
        <v>1064</v>
      </c>
      <c r="C419" t="s">
        <v>97</v>
      </c>
    </row>
    <row r="420" spans="1:3" ht="15.75" customHeight="1" x14ac:dyDescent="0.35">
      <c r="A420" s="1" t="str">
        <f t="shared" si="6"/>
        <v>Orgánicos</v>
      </c>
      <c r="B420" s="1" t="s">
        <v>1065</v>
      </c>
      <c r="C420" t="s">
        <v>98</v>
      </c>
    </row>
    <row r="421" spans="1:3" ht="15" customHeight="1" x14ac:dyDescent="0.35">
      <c r="A421" s="1" t="str">
        <f t="shared" si="6"/>
        <v>¿Se separa esta fracción especifica?</v>
      </c>
      <c r="B421" s="1" t="s">
        <v>1066</v>
      </c>
      <c r="C421" t="s">
        <v>1645</v>
      </c>
    </row>
    <row r="422" spans="1:3" x14ac:dyDescent="0.35">
      <c r="A422" s="1" t="str">
        <f t="shared" si="6"/>
        <v>Cálculos</v>
      </c>
      <c r="B422" s="1" t="s">
        <v>1067</v>
      </c>
      <c r="C422" t="s">
        <v>20</v>
      </c>
    </row>
    <row r="423" spans="1:3" x14ac:dyDescent="0.35">
      <c r="A423" s="1" t="str">
        <f t="shared" si="6"/>
        <v>Recolección primaria</v>
      </c>
      <c r="B423" s="1" t="s">
        <v>1069</v>
      </c>
      <c r="C423" t="s">
        <v>1068</v>
      </c>
    </row>
    <row r="424" spans="1:3" x14ac:dyDescent="0.35">
      <c r="A424" s="1" t="str">
        <f t="shared" si="6"/>
        <v>Generación domiciliar [kg/día]</v>
      </c>
      <c r="B424" s="1" t="s">
        <v>1070</v>
      </c>
      <c r="C424" t="s">
        <v>346</v>
      </c>
    </row>
    <row r="425" spans="1:3" x14ac:dyDescent="0.35">
      <c r="A425" s="1" t="str">
        <f t="shared" si="6"/>
        <v>Cantidad de RS domiciliares a gestionar en días laborales [kg/día]</v>
      </c>
      <c r="B425" s="1" t="s">
        <v>1072</v>
      </c>
      <c r="C425" t="s">
        <v>22</v>
      </c>
    </row>
    <row r="426" spans="1:3" x14ac:dyDescent="0.35">
      <c r="A426" s="1" t="str">
        <f t="shared" si="6"/>
        <v>Generación no domiciliar diaria total [kg/día]</v>
      </c>
      <c r="B426" s="1" t="s">
        <v>1071</v>
      </c>
      <c r="C426" t="s">
        <v>230</v>
      </c>
    </row>
    <row r="427" spans="1:3" x14ac:dyDescent="0.35">
      <c r="A427" s="1" t="str">
        <f t="shared" si="6"/>
        <v>Cantidad de RS no domiciliares a gestionar en días laborales [kg/día]</v>
      </c>
      <c r="B427" s="1" t="s">
        <v>1073</v>
      </c>
      <c r="C427" t="s">
        <v>23</v>
      </c>
    </row>
    <row r="428" spans="1:3" x14ac:dyDescent="0.35">
      <c r="A428" s="1" t="str">
        <f t="shared" si="6"/>
        <v>Familias equivalentes [familias]</v>
      </c>
      <c r="B428" s="1" t="s">
        <v>1074</v>
      </c>
      <c r="C428" t="s">
        <v>25</v>
      </c>
    </row>
    <row r="429" spans="1:3" x14ac:dyDescent="0.35">
      <c r="A429" s="1" t="str">
        <f t="shared" si="6"/>
        <v>Densidad de población equivalente [personas/km2]</v>
      </c>
      <c r="B429" s="1" t="s">
        <v>1075</v>
      </c>
      <c r="C429" t="s">
        <v>27</v>
      </c>
    </row>
    <row r="430" spans="1:3" x14ac:dyDescent="0.35">
      <c r="A430" s="1" t="str">
        <f t="shared" si="6"/>
        <v>Población equivalente por km de carretera [personas/km]</v>
      </c>
      <c r="B430" s="1" t="s">
        <v>1520</v>
      </c>
      <c r="C430" t="s">
        <v>31</v>
      </c>
    </row>
    <row r="431" spans="1:3" x14ac:dyDescent="0.35">
      <c r="A431" s="1" t="str">
        <f t="shared" si="6"/>
        <v>Viviendas equivalentes por km de carretera [vivienda/km]</v>
      </c>
      <c r="B431" s="1" t="s">
        <v>1521</v>
      </c>
      <c r="C431" t="s">
        <v>1646</v>
      </c>
    </row>
    <row r="432" spans="1:3" x14ac:dyDescent="0.35">
      <c r="A432" s="1" t="str">
        <f t="shared" si="6"/>
        <v>Factor correctivo de distancia []</v>
      </c>
      <c r="B432" s="1" t="s">
        <v>1076</v>
      </c>
      <c r="C432" t="s">
        <v>19</v>
      </c>
    </row>
    <row r="433" spans="1:3" x14ac:dyDescent="0.35">
      <c r="A433" s="1" t="str">
        <f t="shared" si="6"/>
        <v>Longitud corregida de carretera total a recolectar [km]</v>
      </c>
      <c r="B433" s="1" t="s">
        <v>1077</v>
      </c>
      <c r="C433" t="s">
        <v>87</v>
      </c>
    </row>
    <row r="434" spans="1:3" x14ac:dyDescent="0.35">
      <c r="A434" s="1" t="str">
        <f t="shared" si="6"/>
        <v>Promedio de familias recolectadas en cada parada del camión recolector [familias/parada]</v>
      </c>
      <c r="B434" s="1" t="s">
        <v>1078</v>
      </c>
      <c r="C434" t="s">
        <v>58</v>
      </c>
    </row>
    <row r="435" spans="1:3" x14ac:dyDescent="0.35">
      <c r="A435" s="1" t="str">
        <f t="shared" si="6"/>
        <v>Tiempo de cada parada para recoger RS [minutos]</v>
      </c>
      <c r="B435" s="1" t="s">
        <v>1079</v>
      </c>
      <c r="C435" t="s">
        <v>40</v>
      </c>
    </row>
    <row r="436" spans="1:3" x14ac:dyDescent="0.35">
      <c r="A436" s="1" t="str">
        <f t="shared" si="6"/>
        <v>Numero de paradas requeridas []</v>
      </c>
      <c r="B436" s="1" t="s">
        <v>1080</v>
      </c>
      <c r="C436" t="s">
        <v>32</v>
      </c>
    </row>
    <row r="437" spans="1:3" x14ac:dyDescent="0.35">
      <c r="A437" s="1" t="str">
        <f t="shared" si="6"/>
        <v>Personas por parada [personas]</v>
      </c>
      <c r="B437" s="1" t="s">
        <v>1081</v>
      </c>
      <c r="C437" t="s">
        <v>33</v>
      </c>
    </row>
    <row r="438" spans="1:3" x14ac:dyDescent="0.35">
      <c r="A438" s="1" t="str">
        <f t="shared" si="6"/>
        <v>Paradas por km [paradas/km]</v>
      </c>
      <c r="B438" s="1" t="s">
        <v>1522</v>
      </c>
      <c r="C438" t="s">
        <v>34</v>
      </c>
    </row>
    <row r="439" spans="1:3" x14ac:dyDescent="0.35">
      <c r="A439" s="1" t="str">
        <f t="shared" si="6"/>
        <v>Distancia promedio entre 2 paradas [km]</v>
      </c>
      <c r="B439" s="1" t="s">
        <v>1082</v>
      </c>
      <c r="C439" t="s">
        <v>35</v>
      </c>
    </row>
    <row r="440" spans="1:3" x14ac:dyDescent="0.35">
      <c r="A440" s="1" t="str">
        <f t="shared" si="6"/>
        <v>Volumen del camión utilizado para la recolección [m3]</v>
      </c>
      <c r="B440" s="1" t="s">
        <v>1083</v>
      </c>
      <c r="C440" t="s">
        <v>36</v>
      </c>
    </row>
    <row r="441" spans="1:3" x14ac:dyDescent="0.35">
      <c r="A441" s="1" t="str">
        <f t="shared" si="6"/>
        <v>Numero de paradas de recolección por viaje [paradas/viaje]</v>
      </c>
      <c r="B441" s="1" t="s">
        <v>1085</v>
      </c>
      <c r="C441" t="s">
        <v>1084</v>
      </c>
    </row>
    <row r="442" spans="1:3" x14ac:dyDescent="0.35">
      <c r="A442" s="1" t="str">
        <f t="shared" si="6"/>
        <v>Viajes necesarios por semana [viaje/semana]</v>
      </c>
      <c r="B442" s="1" t="s">
        <v>1086</v>
      </c>
      <c r="C442" t="s">
        <v>38</v>
      </c>
    </row>
    <row r="443" spans="1:3" x14ac:dyDescent="0.35">
      <c r="A443" s="1" t="str">
        <f t="shared" si="6"/>
        <v>Distancia promedia recorrida para cada viaje [km]</v>
      </c>
      <c r="B443" s="1" t="s">
        <v>1087</v>
      </c>
      <c r="C443" t="s">
        <v>233</v>
      </c>
    </row>
    <row r="444" spans="1:3" x14ac:dyDescent="0.35">
      <c r="A444" s="1" t="str">
        <f t="shared" si="6"/>
        <v>Distancia total recorrida por semana [km/semana]</v>
      </c>
      <c r="B444" s="1" t="s">
        <v>1088</v>
      </c>
      <c r="C444" t="s">
        <v>234</v>
      </c>
    </row>
    <row r="445" spans="1:3" x14ac:dyDescent="0.35">
      <c r="A445" s="1" t="str">
        <f t="shared" si="6"/>
        <v>Tiempo total necesario para recogida de RS [minutos]</v>
      </c>
      <c r="B445" s="1" t="s">
        <v>1089</v>
      </c>
      <c r="C445" t="s">
        <v>41</v>
      </c>
    </row>
    <row r="446" spans="1:3" x14ac:dyDescent="0.35">
      <c r="A446" s="1" t="str">
        <f t="shared" si="6"/>
        <v>Tiempo necesario por viaje para recorrido en zona urbana [horas]</v>
      </c>
      <c r="B446" s="1" t="s">
        <v>1090</v>
      </c>
      <c r="C446" t="s">
        <v>235</v>
      </c>
    </row>
    <row r="447" spans="1:3" x14ac:dyDescent="0.35">
      <c r="A447" s="1" t="str">
        <f t="shared" si="6"/>
        <v>Tiempo necesario por viaje para recorrido en zona urbana [minutos]</v>
      </c>
      <c r="B447" s="1" t="s">
        <v>1091</v>
      </c>
      <c r="C447" t="s">
        <v>1647</v>
      </c>
    </row>
    <row r="448" spans="1:3" x14ac:dyDescent="0.35">
      <c r="A448" s="1" t="str">
        <f t="shared" si="6"/>
        <v>Distancia [km]</v>
      </c>
      <c r="B448" s="1" t="s">
        <v>1092</v>
      </c>
      <c r="C448" t="s">
        <v>181</v>
      </c>
    </row>
    <row r="449" spans="1:3" x14ac:dyDescent="0.35">
      <c r="A449" s="1" t="str">
        <f t="shared" si="6"/>
        <v>Tiempo necesario fuera de la zona urbana ida y vuelta [horas]</v>
      </c>
      <c r="B449" s="1" t="s">
        <v>1093</v>
      </c>
      <c r="C449" t="s">
        <v>42</v>
      </c>
    </row>
    <row r="450" spans="1:3" x14ac:dyDescent="0.35">
      <c r="A450" s="1" t="str">
        <f t="shared" ref="A450:A513" si="7">HLOOKUP($A$1,B:K,ROW(A450),0)</f>
        <v>Tiempo necesario fuera de la zona urbana ida y vuelta [minutos]</v>
      </c>
      <c r="B450" s="1" t="s">
        <v>1094</v>
      </c>
      <c r="C450" t="s">
        <v>43</v>
      </c>
    </row>
    <row r="451" spans="1:3" x14ac:dyDescent="0.35">
      <c r="A451" s="1" t="str">
        <f t="shared" si="7"/>
        <v>Tiempo total por viaje [minutos/viaje]</v>
      </c>
      <c r="B451" s="1" t="s">
        <v>1095</v>
      </c>
      <c r="C451" t="s">
        <v>271</v>
      </c>
    </row>
    <row r="452" spans="1:3" x14ac:dyDescent="0.35">
      <c r="A452" s="1" t="str">
        <f t="shared" si="7"/>
        <v>Tiempo total por viaje [horas/viaje]</v>
      </c>
      <c r="B452" s="1" t="s">
        <v>1096</v>
      </c>
      <c r="C452" t="s">
        <v>269</v>
      </c>
    </row>
    <row r="453" spans="1:3" x14ac:dyDescent="0.35">
      <c r="A453" s="1" t="str">
        <f t="shared" si="7"/>
        <v>Tiempo necesario para ida y vuelta al parqueo [h]</v>
      </c>
      <c r="B453" s="1" t="s">
        <v>1097</v>
      </c>
      <c r="C453" t="s">
        <v>329</v>
      </c>
    </row>
    <row r="454" spans="1:3" x14ac:dyDescent="0.35">
      <c r="A454" s="1" t="str">
        <f t="shared" si="7"/>
        <v>Tasa de disponibilidad de tiempo de equipo de recolección [%]</v>
      </c>
      <c r="B454" s="1" t="s">
        <v>1098</v>
      </c>
      <c r="C454" t="s">
        <v>45</v>
      </c>
    </row>
    <row r="455" spans="1:3" x14ac:dyDescent="0.35">
      <c r="A455" s="1" t="str">
        <f t="shared" si="7"/>
        <v>Cantidad de viajes por turnos de trabajo diario [viajes]</v>
      </c>
      <c r="B455" s="1" t="s">
        <v>1099</v>
      </c>
      <c r="C455" t="s">
        <v>236</v>
      </c>
    </row>
    <row r="456" spans="1:3" x14ac:dyDescent="0.35">
      <c r="A456" s="1" t="str">
        <f t="shared" si="7"/>
        <v>Cantidad de viajes por turnos de trabajo diario NO REDONDEADO [viajes]</v>
      </c>
      <c r="B456" s="1" t="s">
        <v>1186</v>
      </c>
      <c r="C456" t="s">
        <v>781</v>
      </c>
    </row>
    <row r="457" spans="1:3" x14ac:dyDescent="0.35">
      <c r="A457" s="1" t="str">
        <f t="shared" si="7"/>
        <v>Viajes por semana laboral posible por camión [viajes/semana]</v>
      </c>
      <c r="B457" s="1" t="s">
        <v>1100</v>
      </c>
      <c r="C457" t="s">
        <v>1648</v>
      </c>
    </row>
    <row r="458" spans="1:3" ht="29" x14ac:dyDescent="0.35">
      <c r="A458" s="1" t="str">
        <f t="shared" si="7"/>
        <v>Cantidad de camiones de recolección necesarios [camiones]
Aplica para semana y horario laboral de 1 persona</v>
      </c>
      <c r="B458" s="1" t="s">
        <v>1523</v>
      </c>
      <c r="C458" s="1" t="s">
        <v>312</v>
      </c>
    </row>
    <row r="459" spans="1:3" x14ac:dyDescent="0.35">
      <c r="A459" s="1" t="str">
        <f t="shared" si="7"/>
        <v>Cantidad de camiones de recolección necesarios NO REDONDEADO [camiones]</v>
      </c>
      <c r="B459" t="s">
        <v>1524</v>
      </c>
      <c r="C459" t="s">
        <v>780</v>
      </c>
    </row>
    <row r="460" spans="1:3" x14ac:dyDescent="0.35">
      <c r="A460" s="1" t="str">
        <f t="shared" si="7"/>
        <v>Tasa de indisponibilidad de camiones de recolección [%]</v>
      </c>
      <c r="B460" s="1" t="s">
        <v>1101</v>
      </c>
      <c r="C460" t="s">
        <v>49</v>
      </c>
    </row>
    <row r="461" spans="1:3" ht="29" x14ac:dyDescent="0.35">
      <c r="A461" s="1" t="str">
        <f t="shared" si="7"/>
        <v>Cantidad de camiones de recolección necesarios considerando incremento de precaución y la posibilidad de dos turnos y de laborar los sábados o domingos [camiones]</v>
      </c>
      <c r="B461" s="1" t="s">
        <v>1102</v>
      </c>
      <c r="C461" s="1" t="s">
        <v>1649</v>
      </c>
    </row>
    <row r="462" spans="1:3" x14ac:dyDescent="0.35">
      <c r="A462" s="1" t="str">
        <f t="shared" si="7"/>
        <v>Costo total de compra de vehículo de recolección primaria [$$$]</v>
      </c>
      <c r="B462" s="1" t="str">
        <f>_xlfn.CONCAT("Total cost of primary collection vehicles [",Info!C5,"]")</f>
        <v>Total cost of primary collection vehicles [$$$]</v>
      </c>
      <c r="C462" t="str">
        <f>_xlfn.CONCAT("Costo total de compra de vehículo de recolección primaria [",Info!C5,"]")</f>
        <v>Costo total de compra de vehículo de recolección primaria [$$$]</v>
      </c>
    </row>
    <row r="463" spans="1:3" x14ac:dyDescent="0.35">
      <c r="A463" s="1" t="str">
        <f t="shared" si="7"/>
        <v>Personal total del servicio de recolección primario [personas]</v>
      </c>
      <c r="B463" s="1" t="s">
        <v>1103</v>
      </c>
      <c r="C463" t="s">
        <v>370</v>
      </c>
    </row>
    <row r="464" spans="1:3" x14ac:dyDescent="0.35">
      <c r="A464" s="1" t="str">
        <f t="shared" si="7"/>
        <v>Costos totales personal de servicio de recolección primario por año [$$$/año]</v>
      </c>
      <c r="B464" s="1" t="str">
        <f>_xlfn.CONCAT("Total costs of personnel for primary collection service per year [",Info!C5,"/year]")</f>
        <v>Total costs of personnel for primary collection service per year [$$$/year]</v>
      </c>
      <c r="C464" t="str">
        <f>_xlfn.CONCAT("Costos totales personal de servicio de recolección primario por año [",Info!C5,"/año]")</f>
        <v>Costos totales personal de servicio de recolección primario por año [$$$/año]</v>
      </c>
    </row>
    <row r="465" spans="1:3" x14ac:dyDescent="0.35">
      <c r="A465" s="1" t="str">
        <f t="shared" si="7"/>
        <v>Distancia semanal vehículos recolección (parqueo-ciudad) [km/semana]</v>
      </c>
      <c r="B465" s="1" t="s">
        <v>1104</v>
      </c>
      <c r="C465" t="s">
        <v>1584</v>
      </c>
    </row>
    <row r="466" spans="1:3" x14ac:dyDescent="0.35">
      <c r="A466" s="1" t="str">
        <f t="shared" si="7"/>
        <v>Distancia semana de recolección [km/semana]</v>
      </c>
      <c r="B466" s="1" t="s">
        <v>1105</v>
      </c>
      <c r="C466" t="s">
        <v>75</v>
      </c>
    </row>
    <row r="467" spans="1:3" ht="29" x14ac:dyDescent="0.35">
      <c r="A467" s="1" t="str">
        <f t="shared" si="7"/>
        <v>Distancia semanal vehículos de recolección de ciudad a estación de transferencia o sitio de disposición final (si no hay transferencia) [km/semana]</v>
      </c>
      <c r="B467" s="1" t="s">
        <v>1106</v>
      </c>
      <c r="C467" s="1" t="s">
        <v>1585</v>
      </c>
    </row>
    <row r="468" spans="1:3" x14ac:dyDescent="0.35">
      <c r="A468" s="1" t="str">
        <f t="shared" si="7"/>
        <v>Distancia semanal de estación de transferencia a disposición final [km/semana]</v>
      </c>
      <c r="B468" s="1" t="s">
        <v>1107</v>
      </c>
      <c r="C468" t="s">
        <v>76</v>
      </c>
    </row>
    <row r="469" spans="1:3" x14ac:dyDescent="0.35">
      <c r="A469" s="1" t="str">
        <f t="shared" si="7"/>
        <v>Costo de operación de los vehículos anual total [$$$/año]</v>
      </c>
      <c r="B469" s="1" t="str">
        <f>_xlfn.CONCAT("Total operation costs for vehicles per year [",Info!C5,"/year]")</f>
        <v>Total operation costs for vehicles per year [$$$/year]</v>
      </c>
      <c r="C469" t="str">
        <f>_xlfn.CONCAT("Costo de operación de los vehículos anual total [",Info!C5,"/año]")</f>
        <v>Costo de operación de los vehículos anual total [$$$/año]</v>
      </c>
    </row>
    <row r="470" spans="1:3" x14ac:dyDescent="0.35">
      <c r="A470" s="1" t="str">
        <f t="shared" si="7"/>
        <v>Tasa de interés para cálculo de préstamo [%]</v>
      </c>
      <c r="B470" s="1" t="s">
        <v>1108</v>
      </c>
      <c r="C470" t="s">
        <v>1650</v>
      </c>
    </row>
    <row r="471" spans="1:3" x14ac:dyDescent="0.35">
      <c r="A471" s="1" t="str">
        <f t="shared" si="7"/>
        <v>Kilometraje anual por vehículo de recolección primaria [km/año*vehículo]</v>
      </c>
      <c r="B471" s="1" t="s">
        <v>1526</v>
      </c>
      <c r="C471" t="s">
        <v>1586</v>
      </c>
    </row>
    <row r="472" spans="1:3" x14ac:dyDescent="0.35">
      <c r="A472" s="1" t="str">
        <f t="shared" si="7"/>
        <v>Depreciación del vehículo utilizado [años]</v>
      </c>
      <c r="B472" s="1" t="s">
        <v>1109</v>
      </c>
      <c r="C472" t="s">
        <v>1587</v>
      </c>
    </row>
    <row r="473" spans="1:3" x14ac:dyDescent="0.35">
      <c r="A473" s="1" t="str">
        <f t="shared" si="7"/>
        <v>Depreciación monetaria de vehículos de recolección [$$$/año]</v>
      </c>
      <c r="B473" s="1" t="str">
        <f>_xlfn.CONCAT("Cost depreciation of the vehicles [",Info!C5,"/year]")</f>
        <v>Cost depreciation of the vehicles [$$$/year]</v>
      </c>
      <c r="C473" t="str">
        <f>_xlfn.CONCAT("Depreciación monetaria de vehículos de recolección [",Info!C5,"/año]")</f>
        <v>Depreciación monetaria de vehículos de recolección [$$$/año]</v>
      </c>
    </row>
    <row r="474" spans="1:3" x14ac:dyDescent="0.35">
      <c r="A474" s="1" t="str">
        <f t="shared" si="7"/>
        <v>Costo total anual de la recolección primaria [$$$/año]</v>
      </c>
      <c r="B474" s="1" t="str">
        <f>_xlfn.CONCAT("Total yearly cost for primary collection [",Info!C5,"/year]")</f>
        <v>Total yearly cost for primary collection [$$$/year]</v>
      </c>
      <c r="C474" t="str">
        <f>_xlfn.CONCAT("Costo total anual de la recolección primaria [",Info!C5,"/año]")</f>
        <v>Costo total anual de la recolección primaria [$$$/año]</v>
      </c>
    </row>
    <row r="475" spans="1:3" x14ac:dyDescent="0.35">
      <c r="A475" s="1" t="str">
        <f t="shared" si="7"/>
        <v>Correcciones de distancias y tiempos necesarios</v>
      </c>
      <c r="B475" s="1" t="s">
        <v>1110</v>
      </c>
      <c r="C475" t="s">
        <v>260</v>
      </c>
    </row>
    <row r="476" spans="1:3" x14ac:dyDescent="0.35">
      <c r="A476" s="1" t="str">
        <f t="shared" si="7"/>
        <v>Promedio de familias recolectadas en cada parada del camión recolector [familias/parada]</v>
      </c>
      <c r="B476" s="1" t="s">
        <v>1525</v>
      </c>
      <c r="C476" t="s">
        <v>58</v>
      </c>
    </row>
    <row r="477" spans="1:3" x14ac:dyDescent="0.35">
      <c r="A477" s="1" t="str">
        <f t="shared" si="7"/>
        <v>Factor correctivo de distancia []</v>
      </c>
      <c r="B477" s="1" t="s">
        <v>1111</v>
      </c>
      <c r="C477" t="s">
        <v>19</v>
      </c>
    </row>
    <row r="478" spans="1:3" x14ac:dyDescent="0.35">
      <c r="A478" s="1" t="str">
        <f t="shared" si="7"/>
        <v>Densidad de carretera [km/km2]</v>
      </c>
      <c r="B478" s="1" t="s">
        <v>897</v>
      </c>
      <c r="C478" t="s">
        <v>29</v>
      </c>
    </row>
    <row r="479" spans="1:3" x14ac:dyDescent="0.35">
      <c r="A479" s="1" t="str">
        <f t="shared" si="7"/>
        <v>Tiempo de cada parada para recoger RS [minutos]</v>
      </c>
      <c r="B479" s="1" t="s">
        <v>1112</v>
      </c>
      <c r="C479" t="s">
        <v>40</v>
      </c>
    </row>
    <row r="480" spans="1:3" x14ac:dyDescent="0.35">
      <c r="A480" s="1" t="str">
        <f t="shared" si="7"/>
        <v>Tiempo para vaciar camión recolector en estación de transferencia [minutos]</v>
      </c>
      <c r="B480" s="1" t="s">
        <v>1113</v>
      </c>
      <c r="C480" t="s">
        <v>44</v>
      </c>
    </row>
    <row r="481" spans="1:3" x14ac:dyDescent="0.35">
      <c r="A481" s="1" t="str">
        <f t="shared" si="7"/>
        <v>Tiempo para llenar camiones de transferencia en la estación de transferencia [minutos]</v>
      </c>
      <c r="B481" s="1" t="s">
        <v>1115</v>
      </c>
      <c r="C481" t="s">
        <v>52</v>
      </c>
    </row>
    <row r="482" spans="1:3" x14ac:dyDescent="0.35">
      <c r="A482" s="1" t="str">
        <f t="shared" si="7"/>
        <v>Tiempo para vaciar camiones de transferencia en sitio de disposición final [minutos]</v>
      </c>
      <c r="B482" s="1" t="s">
        <v>1114</v>
      </c>
      <c r="C482" t="s">
        <v>53</v>
      </c>
    </row>
    <row r="483" spans="1:3" x14ac:dyDescent="0.35">
      <c r="A483" s="1" t="str">
        <f t="shared" si="7"/>
        <v>Cantidad de estaciones de transferencias</v>
      </c>
      <c r="B483" s="1" t="s">
        <v>1116</v>
      </c>
      <c r="C483" t="s">
        <v>66</v>
      </c>
    </row>
    <row r="484" spans="1:3" ht="58" x14ac:dyDescent="0.35">
      <c r="A484" s="1" t="str">
        <f t="shared" si="7"/>
        <v>Valores indicativos: de 1 a 30. 2 para modelizar un servicio casa por casa, 30 para esquina por equina. Se debe verificar la distancia calculada entre las paradas del camión para validar el dato ingresado - el tiempo por parada debe de corresponder al tiempo necesario para recolectar el numero indicado de viviendas</v>
      </c>
      <c r="B484" s="1" t="s">
        <v>1117</v>
      </c>
      <c r="C484" s="1" t="s">
        <v>575</v>
      </c>
    </row>
    <row r="485" spans="1:3" ht="29" x14ac:dyDescent="0.35">
      <c r="A485" s="1" t="str">
        <f t="shared" si="7"/>
        <v>Se utiliza siempre 1 si hay contenedores
Se utiliza 1 si es por esquinas, se utiliza 1.2 si es casa por casa.</v>
      </c>
      <c r="B485" s="1" t="s">
        <v>1118</v>
      </c>
      <c r="C485" s="1" t="s">
        <v>227</v>
      </c>
    </row>
    <row r="486" spans="1:3" ht="43.5" x14ac:dyDescent="0.35">
      <c r="A486" s="1" t="str">
        <f t="shared" si="7"/>
        <v>Por defecto = 1 para contenedores
Por defecto = 1 para paradas de esquinas
Por defecto = 0.1 para casa por casa</v>
      </c>
      <c r="B486" s="1" t="s">
        <v>1241</v>
      </c>
      <c r="C486" s="1" t="s">
        <v>1651</v>
      </c>
    </row>
    <row r="487" spans="1:3" x14ac:dyDescent="0.35">
      <c r="A487" s="1" t="str">
        <f t="shared" si="7"/>
        <v>Por defecto solo hay 1 estación</v>
      </c>
      <c r="B487" t="s">
        <v>1242</v>
      </c>
      <c r="C487" s="1" t="s">
        <v>176</v>
      </c>
    </row>
    <row r="488" spans="1:3" x14ac:dyDescent="0.35">
      <c r="A488" s="1" t="str">
        <f t="shared" si="7"/>
        <v>Definición de distancia de recolección y cantidad de RS a recolectar</v>
      </c>
      <c r="B488" s="1" t="s">
        <v>1119</v>
      </c>
      <c r="C488" s="1" t="s">
        <v>228</v>
      </c>
    </row>
    <row r="489" spans="1:3" x14ac:dyDescent="0.35">
      <c r="A489" s="1" t="str">
        <f t="shared" si="7"/>
        <v>Generación domiciliar diaria total [kg/día]</v>
      </c>
      <c r="B489" s="1" t="s">
        <v>1120</v>
      </c>
      <c r="C489" s="1" t="s">
        <v>229</v>
      </c>
    </row>
    <row r="490" spans="1:3" x14ac:dyDescent="0.35">
      <c r="A490" s="1" t="str">
        <f t="shared" si="7"/>
        <v>Generación domiciliar diaria que recolectar [kg/día]</v>
      </c>
      <c r="B490" s="1" t="s">
        <v>1121</v>
      </c>
      <c r="C490" s="1" t="s">
        <v>1652</v>
      </c>
    </row>
    <row r="491" spans="1:3" x14ac:dyDescent="0.35">
      <c r="A491" s="1" t="str">
        <f t="shared" si="7"/>
        <v>Cantidad de RS domiciliares que gestionar en días laborales [kg/día]</v>
      </c>
      <c r="B491" s="1" t="s">
        <v>1122</v>
      </c>
      <c r="C491" s="1" t="s">
        <v>1653</v>
      </c>
    </row>
    <row r="492" spans="1:3" x14ac:dyDescent="0.35">
      <c r="A492" s="1" t="str">
        <f t="shared" si="7"/>
        <v>Generación no domiciliar diaria total [kg/día]</v>
      </c>
      <c r="B492" s="1" t="s">
        <v>1123</v>
      </c>
      <c r="C492" s="1" t="s">
        <v>230</v>
      </c>
    </row>
    <row r="493" spans="1:3" x14ac:dyDescent="0.35">
      <c r="A493" s="1" t="str">
        <f t="shared" si="7"/>
        <v>Generación no domiciliar diaria que recolectar [kg/día]</v>
      </c>
      <c r="B493" s="1" t="s">
        <v>1124</v>
      </c>
      <c r="C493" s="1" t="s">
        <v>1657</v>
      </c>
    </row>
    <row r="494" spans="1:3" x14ac:dyDescent="0.35">
      <c r="A494" s="1" t="str">
        <f t="shared" si="7"/>
        <v>Cantidad de RS no domiciliares que gestionar en días laborales [kg/día]</v>
      </c>
      <c r="B494" s="1" t="s">
        <v>1125</v>
      </c>
      <c r="C494" s="1" t="s">
        <v>1656</v>
      </c>
    </row>
    <row r="495" spans="1:3" x14ac:dyDescent="0.35">
      <c r="A495" s="1" t="str">
        <f t="shared" si="7"/>
        <v>Generación diaria total [kg/día]</v>
      </c>
      <c r="B495" s="1" t="s">
        <v>1126</v>
      </c>
      <c r="C495" s="1" t="s">
        <v>231</v>
      </c>
    </row>
    <row r="496" spans="1:3" x14ac:dyDescent="0.35">
      <c r="A496" s="1" t="str">
        <f t="shared" si="7"/>
        <v>Cantidad total que recolectar por día [kg/día]</v>
      </c>
      <c r="B496" s="1" t="s">
        <v>1127</v>
      </c>
      <c r="C496" s="1" t="s">
        <v>1654</v>
      </c>
    </row>
    <row r="497" spans="1:3" x14ac:dyDescent="0.35">
      <c r="A497" s="1" t="str">
        <f t="shared" si="7"/>
        <v>Cantidad total que gestionar por día laboral [kg/día]</v>
      </c>
      <c r="B497" s="1" t="s">
        <v>1128</v>
      </c>
      <c r="C497" s="1" t="s">
        <v>1655</v>
      </c>
    </row>
    <row r="498" spans="1:3" x14ac:dyDescent="0.35">
      <c r="A498" s="1" t="str">
        <f t="shared" si="7"/>
        <v>Prueba lógica de segregación de material especifico</v>
      </c>
      <c r="B498" s="1" t="s">
        <v>1129</v>
      </c>
      <c r="C498" t="s">
        <v>106</v>
      </c>
    </row>
    <row r="499" spans="1:3" ht="29" x14ac:dyDescent="0.35">
      <c r="A499" s="1" t="str">
        <f t="shared" si="7"/>
        <v>Porción adicional de desechos debido a la eficiencia y/o a la no gestión de una fracción [kg/semana]</v>
      </c>
      <c r="B499" s="1" t="s">
        <v>1130</v>
      </c>
      <c r="C499" t="s">
        <v>107</v>
      </c>
    </row>
    <row r="500" spans="1:3" x14ac:dyDescent="0.35">
      <c r="A500" s="1" t="str">
        <f t="shared" si="7"/>
        <v>Cantidad de contenedores necesarios calculados [unidades]</v>
      </c>
      <c r="B500" s="1" t="s">
        <v>1132</v>
      </c>
      <c r="C500" t="s">
        <v>547</v>
      </c>
    </row>
    <row r="501" spans="1:3" x14ac:dyDescent="0.35">
      <c r="A501" s="1" t="str">
        <f t="shared" si="7"/>
        <v>Distancia máxima entre dos puntos de contenedores [km]</v>
      </c>
      <c r="B501" s="1" t="s">
        <v>1131</v>
      </c>
      <c r="C501" t="s">
        <v>1658</v>
      </c>
    </row>
    <row r="502" spans="1:3" x14ac:dyDescent="0.35">
      <c r="A502" s="1" t="str">
        <f t="shared" si="7"/>
        <v>Cantidad de contenedores necesarios FINAL - controlado [unidades]</v>
      </c>
      <c r="B502" s="1" t="s">
        <v>1133</v>
      </c>
      <c r="C502" t="s">
        <v>550</v>
      </c>
    </row>
    <row r="503" spans="1:3" x14ac:dyDescent="0.35">
      <c r="A503" s="1" t="str">
        <f t="shared" si="7"/>
        <v>Población equivalente por contenedor o punto de colecta (caso separativo) [personas/contenedor]</v>
      </c>
      <c r="B503" s="1" t="s">
        <v>1134</v>
      </c>
      <c r="C503" t="s">
        <v>232</v>
      </c>
    </row>
    <row r="504" spans="1:3" x14ac:dyDescent="0.35">
      <c r="A504" s="1" t="str">
        <f t="shared" si="7"/>
        <v>Familias equivalentes [familias]</v>
      </c>
      <c r="B504" s="1" t="s">
        <v>1074</v>
      </c>
      <c r="C504" t="s">
        <v>25</v>
      </c>
    </row>
    <row r="505" spans="1:3" x14ac:dyDescent="0.35">
      <c r="A505" s="1" t="str">
        <f t="shared" si="7"/>
        <v>Densidad de población equivalente [personas/km2]</v>
      </c>
      <c r="B505" s="1" t="s">
        <v>1075</v>
      </c>
      <c r="C505" t="s">
        <v>27</v>
      </c>
    </row>
    <row r="506" spans="1:3" x14ac:dyDescent="0.35">
      <c r="A506" s="1" t="str">
        <f t="shared" si="7"/>
        <v>Población equivalente por km de carretera [personas/km]</v>
      </c>
      <c r="B506" s="1" t="s">
        <v>1520</v>
      </c>
      <c r="C506" t="s">
        <v>31</v>
      </c>
    </row>
    <row r="507" spans="1:3" x14ac:dyDescent="0.35">
      <c r="A507" s="1" t="str">
        <f t="shared" si="7"/>
        <v>Viviendas equivalentes por km de carretera [vivienda/km]</v>
      </c>
      <c r="B507" s="1" t="s">
        <v>1521</v>
      </c>
      <c r="C507" t="s">
        <v>1646</v>
      </c>
    </row>
    <row r="508" spans="1:3" x14ac:dyDescent="0.35">
      <c r="A508" s="1" t="str">
        <f t="shared" si="7"/>
        <v>Longitud corregida de carretera total a recolectar [km]</v>
      </c>
      <c r="B508" s="1" t="s">
        <v>1077</v>
      </c>
      <c r="C508" t="s">
        <v>87</v>
      </c>
    </row>
    <row r="509" spans="1:3" x14ac:dyDescent="0.35">
      <c r="A509" s="1" t="str">
        <f t="shared" si="7"/>
        <v>Contenedores por km [contenedor/km]</v>
      </c>
      <c r="B509" s="1" t="s">
        <v>1135</v>
      </c>
      <c r="C509" t="s">
        <v>88</v>
      </c>
    </row>
    <row r="510" spans="1:3" x14ac:dyDescent="0.35">
      <c r="A510" s="1" t="str">
        <f t="shared" si="7"/>
        <v>Contenedores por km corregido/control [contenedor/km]</v>
      </c>
      <c r="B510" s="1" t="s">
        <v>1137</v>
      </c>
      <c r="C510" t="s">
        <v>548</v>
      </c>
    </row>
    <row r="511" spans="1:3" x14ac:dyDescent="0.35">
      <c r="A511" s="1" t="str">
        <f t="shared" si="7"/>
        <v>Numero de paradas requeridas []</v>
      </c>
      <c r="B511" s="1" t="s">
        <v>1080</v>
      </c>
      <c r="C511" t="s">
        <v>32</v>
      </c>
    </row>
    <row r="512" spans="1:3" x14ac:dyDescent="0.35">
      <c r="A512" s="1" t="str">
        <f t="shared" si="7"/>
        <v>Personas por parada [personas]</v>
      </c>
      <c r="B512" s="1" t="s">
        <v>1081</v>
      </c>
      <c r="C512" t="s">
        <v>33</v>
      </c>
    </row>
    <row r="513" spans="1:3" x14ac:dyDescent="0.35">
      <c r="A513" s="1" t="str">
        <f t="shared" si="7"/>
        <v>Paradas por km [paradas/km]</v>
      </c>
      <c r="B513" s="1" t="s">
        <v>1136</v>
      </c>
      <c r="C513" t="s">
        <v>34</v>
      </c>
    </row>
    <row r="514" spans="1:3" x14ac:dyDescent="0.35">
      <c r="A514" s="1" t="str">
        <f t="shared" ref="A514:A577" si="8">HLOOKUP($A$1,B:K,ROW(A514),0)</f>
        <v>Distancia promedio entre 2 paradas [km]</v>
      </c>
      <c r="B514" s="1" t="s">
        <v>1082</v>
      </c>
      <c r="C514" t="s">
        <v>35</v>
      </c>
    </row>
    <row r="515" spans="1:3" x14ac:dyDescent="0.35">
      <c r="A515" s="1" t="str">
        <f t="shared" si="8"/>
        <v>Distancia promedio entre 2 paradas corregido/control [km]</v>
      </c>
      <c r="B515" s="1" t="s">
        <v>1138</v>
      </c>
      <c r="C515" t="s">
        <v>549</v>
      </c>
    </row>
    <row r="516" spans="1:3" x14ac:dyDescent="0.35">
      <c r="A516" s="1" t="str">
        <f t="shared" si="8"/>
        <v>Volumen del camión utilizado para la recolección [m3]</v>
      </c>
      <c r="B516" s="1" t="s">
        <v>927</v>
      </c>
      <c r="C516" t="s">
        <v>36</v>
      </c>
    </row>
    <row r="517" spans="1:3" x14ac:dyDescent="0.35">
      <c r="A517" s="1" t="str">
        <f t="shared" si="8"/>
        <v>Cantidad de contenedores vaciados por viaje [unidades]</v>
      </c>
      <c r="B517" s="1" t="s">
        <v>1139</v>
      </c>
      <c r="C517" t="s">
        <v>89</v>
      </c>
    </row>
    <row r="518" spans="1:3" x14ac:dyDescent="0.35">
      <c r="A518" s="1" t="str">
        <f t="shared" si="8"/>
        <v>Tasa promedio real de llenado de contenedores [%]</v>
      </c>
      <c r="B518" s="1" t="s">
        <v>1140</v>
      </c>
      <c r="C518" t="s">
        <v>272</v>
      </c>
    </row>
    <row r="519" spans="1:3" x14ac:dyDescent="0.35">
      <c r="A519" s="1" t="str">
        <f t="shared" si="8"/>
        <v>Numero de paradas de recolección [paradas]</v>
      </c>
      <c r="B519" s="1" t="s">
        <v>1141</v>
      </c>
      <c r="C519" t="s">
        <v>37</v>
      </c>
    </row>
    <row r="520" spans="1:3" x14ac:dyDescent="0.35">
      <c r="A520" s="1" t="str">
        <f t="shared" si="8"/>
        <v>Viajes necesarios por semana [viaje/semana]</v>
      </c>
      <c r="B520" s="1" t="s">
        <v>1462</v>
      </c>
      <c r="C520" t="s">
        <v>38</v>
      </c>
    </row>
    <row r="521" spans="1:3" x14ac:dyDescent="0.35">
      <c r="A521" s="1" t="str">
        <f t="shared" si="8"/>
        <v>Distancia promedia recorrida para cada viaje [km]</v>
      </c>
      <c r="B521" s="1" t="s">
        <v>1142</v>
      </c>
      <c r="C521" t="s">
        <v>233</v>
      </c>
    </row>
    <row r="522" spans="1:3" x14ac:dyDescent="0.35">
      <c r="A522" s="1" t="str">
        <f t="shared" si="8"/>
        <v>Distancia total recorrida por semana [km/semana]</v>
      </c>
      <c r="B522" s="1" t="s">
        <v>1143</v>
      </c>
      <c r="C522" t="s">
        <v>234</v>
      </c>
    </row>
    <row r="523" spans="1:3" x14ac:dyDescent="0.35">
      <c r="A523" s="1" t="str">
        <f t="shared" si="8"/>
        <v>Toma en cuenta la cobertura del servicio</v>
      </c>
      <c r="B523" s="1" t="s">
        <v>1144</v>
      </c>
      <c r="C523" t="s">
        <v>21</v>
      </c>
    </row>
    <row r="524" spans="1:3" ht="29" x14ac:dyDescent="0.35">
      <c r="A524" s="1" t="str">
        <f t="shared" si="8"/>
        <v>Define una distancia teórica máxima entre contenedores, se considera aquí que 200m máximo un usuario estará del contenedor más lejano: 400m entre paradas</v>
      </c>
      <c r="B524" s="1" t="s">
        <v>1145</v>
      </c>
      <c r="C524" s="1" t="s">
        <v>1659</v>
      </c>
    </row>
    <row r="525" spans="1:3" ht="29" x14ac:dyDescent="0.35">
      <c r="A525" s="1" t="str">
        <f t="shared" si="8"/>
        <v>Toma en cuenta la cobertura y la generación no domiciliar como una fracción de la generación domiciliar</v>
      </c>
      <c r="B525" s="1" t="s">
        <v>1527</v>
      </c>
      <c r="C525" t="s">
        <v>24</v>
      </c>
    </row>
    <row r="526" spans="1:3" x14ac:dyDescent="0.35">
      <c r="A526" s="1" t="str">
        <f t="shared" si="8"/>
        <v>Considera generación no domiciliar</v>
      </c>
      <c r="B526" s="1" t="s">
        <v>1146</v>
      </c>
      <c r="C526" t="s">
        <v>28</v>
      </c>
    </row>
    <row r="527" spans="1:3" ht="29" x14ac:dyDescent="0.35">
      <c r="A527" s="1" t="str">
        <f t="shared" si="8"/>
        <v>Definir la cantidad de familias por parada para que este valor sea correcto. 50-400 m entre las paradas en una ciudad parece adecuado.</v>
      </c>
      <c r="B527" s="1" t="s">
        <v>1528</v>
      </c>
      <c r="C527" s="1" t="s">
        <v>1147</v>
      </c>
    </row>
    <row r="528" spans="1:3" ht="29" x14ac:dyDescent="0.35">
      <c r="A528" s="1" t="str">
        <f t="shared" si="8"/>
        <v>Estimación de tiempos desde la zona de recolección a la estación de transferencia o espacio de disposición final</v>
      </c>
      <c r="B528" s="1" t="s">
        <v>1148</v>
      </c>
      <c r="C528" s="1" t="s">
        <v>39</v>
      </c>
    </row>
    <row r="529" spans="1:3" x14ac:dyDescent="0.35">
      <c r="A529" s="1" t="str">
        <f t="shared" si="8"/>
        <v>Tiempo total necesario para recogida de RS [minutos]</v>
      </c>
      <c r="B529" s="1" t="s">
        <v>1149</v>
      </c>
      <c r="C529" t="s">
        <v>41</v>
      </c>
    </row>
    <row r="530" spans="1:3" x14ac:dyDescent="0.35">
      <c r="A530" s="1" t="str">
        <f t="shared" si="8"/>
        <v>Tiempo necesario por viaje para recorrido en zona urbana [horas]</v>
      </c>
      <c r="B530" s="1" t="s">
        <v>1150</v>
      </c>
      <c r="C530" t="s">
        <v>235</v>
      </c>
    </row>
    <row r="531" spans="1:3" x14ac:dyDescent="0.35">
      <c r="A531" s="1" t="str">
        <f t="shared" si="8"/>
        <v>Tiempo necesario por viaje para recorrido en zona urbana [minutos]</v>
      </c>
      <c r="B531" s="1" t="s">
        <v>1151</v>
      </c>
      <c r="C531" t="s">
        <v>1647</v>
      </c>
    </row>
    <row r="532" spans="1:3" x14ac:dyDescent="0.35">
      <c r="A532" s="1" t="str">
        <f t="shared" si="8"/>
        <v>Distancia [km]</v>
      </c>
      <c r="B532" s="1" t="s">
        <v>1092</v>
      </c>
      <c r="C532" t="s">
        <v>181</v>
      </c>
    </row>
    <row r="533" spans="1:3" x14ac:dyDescent="0.35">
      <c r="A533" s="1" t="str">
        <f t="shared" si="8"/>
        <v>Tiempo necesario fuera de la zona urbana ida y vuelta [horas]</v>
      </c>
      <c r="B533" s="1" t="s">
        <v>1152</v>
      </c>
      <c r="C533" t="s">
        <v>42</v>
      </c>
    </row>
    <row r="534" spans="1:3" x14ac:dyDescent="0.35">
      <c r="A534" s="1" t="str">
        <f t="shared" si="8"/>
        <v>Tiempo necesario fuera de la zona urbana ida y vuelta [minutos]</v>
      </c>
      <c r="B534" s="1" t="s">
        <v>1153</v>
      </c>
      <c r="C534" t="s">
        <v>43</v>
      </c>
    </row>
    <row r="535" spans="1:3" x14ac:dyDescent="0.35">
      <c r="A535" s="1" t="str">
        <f t="shared" si="8"/>
        <v>Tiempo total por viaje [minutos/viaje]</v>
      </c>
      <c r="B535" s="1" t="s">
        <v>1095</v>
      </c>
      <c r="C535" t="s">
        <v>271</v>
      </c>
    </row>
    <row r="536" spans="1:3" x14ac:dyDescent="0.35">
      <c r="A536" s="1" t="str">
        <f t="shared" si="8"/>
        <v>Tiempo total por viaje [horas/viaje]</v>
      </c>
      <c r="B536" s="1" t="s">
        <v>1096</v>
      </c>
      <c r="C536" t="s">
        <v>269</v>
      </c>
    </row>
    <row r="537" spans="1:3" x14ac:dyDescent="0.35">
      <c r="A537" s="1" t="str">
        <f t="shared" si="8"/>
        <v>Tiempo necesario para ida y vuelta al parqueo [h]</v>
      </c>
      <c r="B537" s="1" t="s">
        <v>1097</v>
      </c>
      <c r="C537" t="s">
        <v>329</v>
      </c>
    </row>
    <row r="538" spans="1:3" x14ac:dyDescent="0.35">
      <c r="A538" s="1" t="str">
        <f t="shared" si="8"/>
        <v>Tasa de disponibilidad de tiempo de equipo de recolección [%]</v>
      </c>
      <c r="B538" s="1" t="s">
        <v>1098</v>
      </c>
      <c r="C538" t="s">
        <v>45</v>
      </c>
    </row>
    <row r="539" spans="1:3" x14ac:dyDescent="0.35">
      <c r="A539" s="1" t="str">
        <f t="shared" si="8"/>
        <v>Cantidad de viajes por turnos de trabajo diario [viajes]</v>
      </c>
      <c r="B539" s="1" t="s">
        <v>1154</v>
      </c>
      <c r="C539" t="s">
        <v>236</v>
      </c>
    </row>
    <row r="540" spans="1:3" x14ac:dyDescent="0.35">
      <c r="A540" s="1" t="str">
        <f t="shared" si="8"/>
        <v>Cantidad de viajes por turnos de trabajo diario NO RONDEADO [viajes]</v>
      </c>
      <c r="B540" s="1" t="s">
        <v>1187</v>
      </c>
      <c r="C540" t="s">
        <v>237</v>
      </c>
    </row>
    <row r="541" spans="1:3" x14ac:dyDescent="0.35">
      <c r="A541" s="1" t="str">
        <f t="shared" si="8"/>
        <v>Viajes por semana laboral posible por persona [viajes/semana]</v>
      </c>
      <c r="B541" s="1" t="s">
        <v>1155</v>
      </c>
      <c r="C541" t="s">
        <v>1660</v>
      </c>
    </row>
    <row r="542" spans="1:3" x14ac:dyDescent="0.35">
      <c r="A542" s="1" t="str">
        <f t="shared" si="8"/>
        <v>Por defecto = 90%</v>
      </c>
      <c r="B542" s="1" t="s">
        <v>1243</v>
      </c>
      <c r="C542" t="s">
        <v>383</v>
      </c>
    </row>
    <row r="543" spans="1:3" ht="43.5" x14ac:dyDescent="0.35">
      <c r="A543" s="1" t="str">
        <f t="shared" si="8"/>
        <v>Si este valor es cero, se puede revisar el tiempo total para un viaje, si no es mucho mayor al tiempo máximo por día entonces es realista realizar horarios flexibles (unos días más y otros menos). El modelo sigue valido.</v>
      </c>
      <c r="B543" s="1" t="s">
        <v>1529</v>
      </c>
      <c r="C543" s="1" t="s">
        <v>1661</v>
      </c>
    </row>
    <row r="544" spans="1:3" x14ac:dyDescent="0.35">
      <c r="A544" s="1" t="str">
        <f t="shared" si="8"/>
        <v>Tiempos de recolección</v>
      </c>
      <c r="B544" s="1" t="s">
        <v>1156</v>
      </c>
      <c r="C544" t="s">
        <v>270</v>
      </c>
    </row>
    <row r="545" spans="1:3" x14ac:dyDescent="0.35">
      <c r="A545" s="1" t="str">
        <f t="shared" si="8"/>
        <v>Tiempo de recolección efectivo por viaje [minutos]</v>
      </c>
      <c r="B545" s="1" t="s">
        <v>1157</v>
      </c>
      <c r="C545" s="1" t="s">
        <v>1662</v>
      </c>
    </row>
    <row r="546" spans="1:3" x14ac:dyDescent="0.35">
      <c r="A546" s="1" t="str">
        <f t="shared" si="8"/>
        <v>Tiempo de viaje a sitio de disposición o estación de transferencia [minutos]</v>
      </c>
      <c r="B546" s="1" t="s">
        <v>1158</v>
      </c>
      <c r="C546" s="1" t="s">
        <v>275</v>
      </c>
    </row>
    <row r="547" spans="1:3" x14ac:dyDescent="0.35">
      <c r="A547" s="1" t="str">
        <f t="shared" si="8"/>
        <v>Tiempo para vaciar el camión por viaje [minutos]</v>
      </c>
      <c r="B547" s="1" t="s">
        <v>1159</v>
      </c>
      <c r="C547" s="1" t="s">
        <v>276</v>
      </c>
    </row>
    <row r="548" spans="1:3" x14ac:dyDescent="0.35">
      <c r="A548" s="1" t="str">
        <f t="shared" si="8"/>
        <v>Horas por día laboral [h]</v>
      </c>
      <c r="B548" s="1" t="s">
        <v>1160</v>
      </c>
      <c r="C548" s="1" t="s">
        <v>277</v>
      </c>
    </row>
    <row r="549" spans="1:3" x14ac:dyDescent="0.35">
      <c r="A549" s="1" t="str">
        <f t="shared" si="8"/>
        <v>Horas disponibles por día laboral [h]</v>
      </c>
      <c r="B549" s="1" t="s">
        <v>1162</v>
      </c>
      <c r="C549" s="1" t="s">
        <v>1161</v>
      </c>
    </row>
    <row r="550" spans="1:3" x14ac:dyDescent="0.35">
      <c r="A550" s="1" t="str">
        <f t="shared" si="8"/>
        <v>Horas en pausa [h]</v>
      </c>
      <c r="B550" s="1" t="s">
        <v>1163</v>
      </c>
      <c r="C550" s="1" t="s">
        <v>283</v>
      </c>
    </row>
    <row r="551" spans="1:3" x14ac:dyDescent="0.35">
      <c r="A551" s="1" t="str">
        <f t="shared" si="8"/>
        <v>Traslado desde y hacia el parqueo [h]</v>
      </c>
      <c r="B551" s="1" t="s">
        <v>1164</v>
      </c>
      <c r="C551" s="1" t="s">
        <v>330</v>
      </c>
    </row>
    <row r="552" spans="1:3" x14ac:dyDescent="0.35">
      <c r="A552" s="1" t="str">
        <f t="shared" si="8"/>
        <v>Horas recolectando [h]</v>
      </c>
      <c r="B552" s="1" t="s">
        <v>1165</v>
      </c>
      <c r="C552" s="1" t="s">
        <v>284</v>
      </c>
    </row>
    <row r="553" spans="1:3" x14ac:dyDescent="0.35">
      <c r="A553" s="1" t="str">
        <f t="shared" si="8"/>
        <v>Horas transfiriendo a punto de disposición final o transferencia [h]</v>
      </c>
      <c r="B553" s="1" t="s">
        <v>1530</v>
      </c>
      <c r="C553" s="1" t="s">
        <v>285</v>
      </c>
    </row>
    <row r="554" spans="1:3" x14ac:dyDescent="0.35">
      <c r="A554" s="1" t="str">
        <f t="shared" si="8"/>
        <v>Horas vaciando el camión en estación de transferencia o sitio de disposición final [h]</v>
      </c>
      <c r="B554" s="1" t="s">
        <v>1166</v>
      </c>
      <c r="C554" s="1" t="s">
        <v>286</v>
      </c>
    </row>
    <row r="555" spans="1:3" x14ac:dyDescent="0.35">
      <c r="A555" s="1" t="str">
        <f t="shared" si="8"/>
        <v>Horas no ocupadas [h]</v>
      </c>
      <c r="B555" s="1" t="s">
        <v>1167</v>
      </c>
      <c r="C555" s="1" t="s">
        <v>287</v>
      </c>
    </row>
    <row r="556" spans="1:3" x14ac:dyDescent="0.35">
      <c r="A556" s="1" t="str">
        <f t="shared" si="8"/>
        <v>Distribución de tiempos</v>
      </c>
      <c r="B556" s="1" t="s">
        <v>1168</v>
      </c>
      <c r="C556" s="1" t="s">
        <v>314</v>
      </c>
    </row>
    <row r="557" spans="1:3" x14ac:dyDescent="0.35">
      <c r="A557" s="1" t="str">
        <f t="shared" si="8"/>
        <v>Recolección [%]</v>
      </c>
      <c r="B557" s="1" t="s">
        <v>1169</v>
      </c>
      <c r="C557" s="1" t="s">
        <v>315</v>
      </c>
    </row>
    <row r="558" spans="1:3" x14ac:dyDescent="0.35">
      <c r="A558" s="1" t="str">
        <f t="shared" si="8"/>
        <v>Transporte [%]</v>
      </c>
      <c r="B558" s="1" t="s">
        <v>1170</v>
      </c>
      <c r="C558" s="1" t="s">
        <v>316</v>
      </c>
    </row>
    <row r="559" spans="1:3" x14ac:dyDescent="0.35">
      <c r="A559" s="1" t="str">
        <f t="shared" si="8"/>
        <v>Estimación de camiones recolectores necesarios y costos relacionados</v>
      </c>
      <c r="B559" s="1" t="s">
        <v>1171</v>
      </c>
      <c r="C559" s="1" t="s">
        <v>59</v>
      </c>
    </row>
    <row r="560" spans="1:3" ht="29" x14ac:dyDescent="0.35">
      <c r="A560" s="1" t="str">
        <f t="shared" si="8"/>
        <v>Cantidad de camiones de recolección necesarios [camiones]
Aplica para semana y horario laboral de 1 persona</v>
      </c>
      <c r="B560" s="1" t="s">
        <v>1172</v>
      </c>
      <c r="C560" s="1" t="s">
        <v>312</v>
      </c>
    </row>
    <row r="561" spans="1:3" x14ac:dyDescent="0.35">
      <c r="A561" s="1" t="str">
        <f t="shared" si="8"/>
        <v>Cantidad de camiones de recolección necesarios NO RONDEADO [camiones]</v>
      </c>
      <c r="B561" s="1" t="s">
        <v>1531</v>
      </c>
      <c r="C561" s="1" t="s">
        <v>47</v>
      </c>
    </row>
    <row r="562" spans="1:3" x14ac:dyDescent="0.35">
      <c r="A562" s="1" t="str">
        <f t="shared" si="8"/>
        <v>Tasa de indisponibilidad de camiones de recolección [%]</v>
      </c>
      <c r="B562" s="1" t="s">
        <v>1189</v>
      </c>
      <c r="C562" s="1" t="s">
        <v>49</v>
      </c>
    </row>
    <row r="563" spans="1:3" x14ac:dyDescent="0.35">
      <c r="A563" s="1" t="str">
        <f t="shared" si="8"/>
        <v>Control de % de uso de camiones - verificación si redondeado no afecta [%]</v>
      </c>
      <c r="B563" s="1" t="s">
        <v>1173</v>
      </c>
      <c r="C563" s="1" t="s">
        <v>1668</v>
      </c>
    </row>
    <row r="564" spans="1:3" ht="29" x14ac:dyDescent="0.35">
      <c r="A564" s="1" t="str">
        <f t="shared" si="8"/>
        <v>Cantidad de camiones de recolección necesarios considerando incremento de precaución y la posibilidad de dos turnos y de laborar los sábados o domingos [camiones]</v>
      </c>
      <c r="B564" s="1" t="s">
        <v>1532</v>
      </c>
      <c r="C564" s="1" t="s">
        <v>1649</v>
      </c>
    </row>
    <row r="565" spans="1:3" x14ac:dyDescent="0.35">
      <c r="A565" s="1" t="str">
        <f t="shared" si="8"/>
        <v>Costo total de compra de camiones de recolección [$$$]</v>
      </c>
      <c r="B565" s="1" t="str">
        <f>_xlfn.CONCAT("Total cost of purchase of collection trucks [",Info!C5,"]")</f>
        <v>Total cost of purchase of collection trucks [$$$]</v>
      </c>
      <c r="C565" s="1" t="str">
        <f>_xlfn.CONCAT("Costo total de compra de camiones de recolección [",Info!C5,"]")</f>
        <v>Costo total de compra de camiones de recolección [$$$]</v>
      </c>
    </row>
    <row r="566" spans="1:3" x14ac:dyDescent="0.35">
      <c r="A566" s="1" t="str">
        <f t="shared" si="8"/>
        <v>Costo anual de seguros de camiones de recolección [$$$/año]</v>
      </c>
      <c r="B566" s="1" t="str">
        <f>_xlfn.CONCAT("Total cost of insurance for collection trucks per year [",Info!C5,"/year]")</f>
        <v>Total cost of insurance for collection trucks per year [$$$/year]</v>
      </c>
      <c r="C566" s="1" t="str">
        <f>_xlfn.CONCAT("Costo anual de seguros de camiones de recolección [",Info!C5,"/año]",)</f>
        <v>Costo anual de seguros de camiones de recolección [$$$/año]</v>
      </c>
    </row>
    <row r="567" spans="1:3" x14ac:dyDescent="0.35">
      <c r="A567" s="1" t="str">
        <f t="shared" si="8"/>
        <v>Costo anual de mantenimiento de camiones de recolección [$$$/año]</v>
      </c>
      <c r="B567" s="1" t="str">
        <f>_xlfn.CONCAT("Total cost of maintenance for collection trucks per year [",Info!C5,"/year]")</f>
        <v>Total cost of maintenance for collection trucks per year [$$$/year]</v>
      </c>
      <c r="C567" s="1" t="str">
        <f>_xlfn.CONCAT("Costo anual de mantenimiento de camiones de recolección [",Info!C5,"/año]")</f>
        <v>Costo anual de mantenimiento de camiones de recolección [$$$/año]</v>
      </c>
    </row>
    <row r="568" spans="1:3" x14ac:dyDescent="0.35">
      <c r="A568" s="1" t="str">
        <f t="shared" si="8"/>
        <v>Por defecto = 5%</v>
      </c>
      <c r="B568" s="1" t="s">
        <v>1207</v>
      </c>
      <c r="C568" s="1" t="s">
        <v>169</v>
      </c>
    </row>
    <row r="569" spans="1:3" ht="43.5" x14ac:dyDescent="0.35">
      <c r="A569" s="1" t="str">
        <f t="shared" si="8"/>
        <v>Muy relevante para casos con pocos camiones, calcula el % de uso real de los camiones. Se puede utilizar este dato cuando se separa una ciudad por bloques - los camiones no serán usados al 100% para cada bloque, se puede compartir</v>
      </c>
      <c r="B569" s="1" t="s">
        <v>1174</v>
      </c>
      <c r="C569" s="1" t="s">
        <v>1669</v>
      </c>
    </row>
    <row r="570" spans="1:3" x14ac:dyDescent="0.35">
      <c r="A570" s="1" t="str">
        <f t="shared" si="8"/>
        <v>Estimación de tiempos de transferencia hacia sitio de disposición final</v>
      </c>
      <c r="B570" s="1" t="s">
        <v>1175</v>
      </c>
      <c r="C570" s="1" t="s">
        <v>50</v>
      </c>
    </row>
    <row r="571" spans="1:3" x14ac:dyDescent="0.35">
      <c r="A571" s="1" t="str">
        <f t="shared" si="8"/>
        <v>Volumen total que trasladar semanalmente [m3/semana]</v>
      </c>
      <c r="B571" s="1" t="s">
        <v>1176</v>
      </c>
      <c r="C571" s="1" t="s">
        <v>1670</v>
      </c>
    </row>
    <row r="572" spans="1:3" x14ac:dyDescent="0.35">
      <c r="A572" s="1" t="str">
        <f t="shared" si="8"/>
        <v>Distancia [km]</v>
      </c>
      <c r="B572" s="1" t="s">
        <v>1092</v>
      </c>
      <c r="C572" s="1" t="s">
        <v>181</v>
      </c>
    </row>
    <row r="573" spans="1:3" x14ac:dyDescent="0.35">
      <c r="A573" s="1" t="str">
        <f t="shared" si="8"/>
        <v>Porcentaje de materia colectada de forma diferenciada que va a sitio de disposición final [%]</v>
      </c>
      <c r="B573" s="1" t="s">
        <v>1177</v>
      </c>
      <c r="C573" s="1" t="s">
        <v>110</v>
      </c>
    </row>
    <row r="574" spans="1:3" x14ac:dyDescent="0.35">
      <c r="A574" s="1" t="str">
        <f t="shared" si="8"/>
        <v>Cantidad de viajes requeridos semanalmente [viajes/semana]</v>
      </c>
      <c r="B574" s="1" t="s">
        <v>1462</v>
      </c>
      <c r="C574" s="1" t="s">
        <v>51</v>
      </c>
    </row>
    <row r="575" spans="1:3" x14ac:dyDescent="0.35">
      <c r="A575" s="1" t="str">
        <f t="shared" si="8"/>
        <v>Tiempo requerido por viaje ida y vuelta [minutos]</v>
      </c>
      <c r="B575" s="1" t="s">
        <v>1178</v>
      </c>
      <c r="C575" s="1" t="s">
        <v>54</v>
      </c>
    </row>
    <row r="576" spans="1:3" x14ac:dyDescent="0.35">
      <c r="A576" s="1" t="str">
        <f t="shared" si="8"/>
        <v>Tiempo total requerido por viaje [minutos]</v>
      </c>
      <c r="B576" s="1" t="s">
        <v>1179</v>
      </c>
      <c r="C576" t="s">
        <v>55</v>
      </c>
    </row>
    <row r="577" spans="1:3" x14ac:dyDescent="0.35">
      <c r="A577" s="1" t="str">
        <f t="shared" si="8"/>
        <v>Tiempo total requerido por viaje [horas]</v>
      </c>
      <c r="B577" s="1" t="s">
        <v>1180</v>
      </c>
      <c r="C577" t="s">
        <v>56</v>
      </c>
    </row>
    <row r="578" spans="1:3" x14ac:dyDescent="0.35">
      <c r="A578" s="1" t="str">
        <f t="shared" ref="A578:A641" si="9">HLOOKUP($A$1,B:K,ROW(A578),0)</f>
        <v>Tasa de disponibilidad de tiempo de equipo de transferencia [%]</v>
      </c>
      <c r="B578" s="1" t="s">
        <v>1181</v>
      </c>
      <c r="C578" t="s">
        <v>1671</v>
      </c>
    </row>
    <row r="579" spans="1:3" x14ac:dyDescent="0.35">
      <c r="A579" s="1" t="str">
        <f t="shared" si="9"/>
        <v>Cantidad de viajes por turnos de trabajo diario [viajes]</v>
      </c>
      <c r="B579" s="1" t="s">
        <v>1154</v>
      </c>
      <c r="C579" t="s">
        <v>236</v>
      </c>
    </row>
    <row r="580" spans="1:3" x14ac:dyDescent="0.35">
      <c r="A580" s="1" t="str">
        <f t="shared" si="9"/>
        <v>Cantidad de viajes por turnos de trabajo diario NO RONDEADO [viajes]</v>
      </c>
      <c r="B580" s="1" t="s">
        <v>1187</v>
      </c>
      <c r="C580" t="s">
        <v>237</v>
      </c>
    </row>
    <row r="581" spans="1:3" x14ac:dyDescent="0.35">
      <c r="A581" s="1" t="str">
        <f t="shared" si="9"/>
        <v>Cantidad de viajes semanales [viajes/semana]</v>
      </c>
      <c r="B581" s="1" t="s">
        <v>1182</v>
      </c>
      <c r="C581" t="s">
        <v>57</v>
      </c>
    </row>
    <row r="582" spans="1:3" x14ac:dyDescent="0.35">
      <c r="A582" s="1" t="str">
        <f t="shared" si="9"/>
        <v>Por defecto = 0%</v>
      </c>
      <c r="B582" s="1" t="s">
        <v>1244</v>
      </c>
      <c r="C582" t="s">
        <v>165</v>
      </c>
    </row>
    <row r="583" spans="1:3" x14ac:dyDescent="0.35">
      <c r="A583" s="1" t="str">
        <f t="shared" si="9"/>
        <v>Por defecto = 90%</v>
      </c>
      <c r="B583" s="1" t="s">
        <v>1206</v>
      </c>
      <c r="C583" t="s">
        <v>383</v>
      </c>
    </row>
    <row r="584" spans="1:3" x14ac:dyDescent="0.35">
      <c r="A584" s="1" t="str">
        <f t="shared" si="9"/>
        <v>Estimación de camiones de transferencia necesarios y costos relacionados</v>
      </c>
      <c r="B584" s="1" t="s">
        <v>1183</v>
      </c>
      <c r="C584" t="s">
        <v>60</v>
      </c>
    </row>
    <row r="585" spans="1:3" x14ac:dyDescent="0.35">
      <c r="A585" s="1" t="str">
        <f t="shared" si="9"/>
        <v>Cantidad de camiones de transferencia necesarios [camiones]</v>
      </c>
      <c r="B585" s="1" t="s">
        <v>1184</v>
      </c>
      <c r="C585" t="s">
        <v>61</v>
      </c>
    </row>
    <row r="586" spans="1:3" x14ac:dyDescent="0.35">
      <c r="A586" s="1" t="str">
        <f t="shared" si="9"/>
        <v>Cantidad de camiones de transferencia necesarios NO RONDEADO [camiones]</v>
      </c>
      <c r="B586" s="1" t="s">
        <v>1185</v>
      </c>
      <c r="C586" t="s">
        <v>63</v>
      </c>
    </row>
    <row r="587" spans="1:3" x14ac:dyDescent="0.35">
      <c r="A587" s="1" t="str">
        <f t="shared" si="9"/>
        <v>Tasa de indisponibilidad de camiones de transferencia [%]</v>
      </c>
      <c r="B587" s="1" t="s">
        <v>1188</v>
      </c>
      <c r="C587" t="s">
        <v>62</v>
      </c>
    </row>
    <row r="588" spans="1:3" ht="29" x14ac:dyDescent="0.35">
      <c r="A588" s="1" t="str">
        <f t="shared" si="9"/>
        <v>Cantidad de camiones de transferencia necesarios considerando incremento de precaución [camiones]</v>
      </c>
      <c r="B588" s="1" t="s">
        <v>1190</v>
      </c>
      <c r="C588" t="s">
        <v>64</v>
      </c>
    </row>
    <row r="589" spans="1:3" x14ac:dyDescent="0.35">
      <c r="A589" s="1" t="str">
        <f t="shared" si="9"/>
        <v>Costo total de compra de camiones de transferencia [$$$]</v>
      </c>
      <c r="B589" s="1" t="str">
        <f>_xlfn.CONCAT("Total costs of purchase of transfer trucks [",Info!C5,"]")</f>
        <v>Total costs of purchase of transfer trucks [$$$]</v>
      </c>
      <c r="C589" t="str">
        <f>_xlfn.CONCAT("Costo total de compra de camiones de transferencia [",Info!C5,"]")</f>
        <v>Costo total de compra de camiones de transferencia [$$$]</v>
      </c>
    </row>
    <row r="590" spans="1:3" x14ac:dyDescent="0.35">
      <c r="A590" s="1" t="str">
        <f t="shared" si="9"/>
        <v>Costo de seguros de camiones de transferencia [$$$]</v>
      </c>
      <c r="B590" s="1" t="str">
        <f>_xlfn.CONCAT("Total costs of insurance of transfer trucks per year [",Info!C5,"/year]")</f>
        <v>Total costs of insurance of transfer trucks per year [$$$/year]</v>
      </c>
      <c r="C590" t="str">
        <f>_xlfn.CONCAT("Costo de seguros de camiones de transferencia [",Info!C5,"]")</f>
        <v>Costo de seguros de camiones de transferencia [$$$]</v>
      </c>
    </row>
    <row r="591" spans="1:3" x14ac:dyDescent="0.35">
      <c r="A591" s="1" t="str">
        <f t="shared" si="9"/>
        <v>Costo anual de mantenimiento de camiones de transferencia [$$$/año]</v>
      </c>
      <c r="B591" s="1" t="str">
        <f>_xlfn.CONCAT("Total yearly costs for transfer trucks maintenance [",Info!C5,"/year]")</f>
        <v>Total yearly costs for transfer trucks maintenance [$$$/year]</v>
      </c>
      <c r="C591" t="str">
        <f>_xlfn.CONCAT("Costo anual de mantenimiento de camiones de transferencia [",Info!C5,"/año]")</f>
        <v>Costo anual de mantenimiento de camiones de transferencia [$$$/año]</v>
      </c>
    </row>
    <row r="592" spans="1:3" x14ac:dyDescent="0.35">
      <c r="A592" s="1" t="str">
        <f t="shared" si="9"/>
        <v>Por defecto = 5%</v>
      </c>
      <c r="B592" s="1" t="s">
        <v>1207</v>
      </c>
      <c r="C592" t="s">
        <v>169</v>
      </c>
    </row>
    <row r="593" spans="1:3" x14ac:dyDescent="0.35">
      <c r="A593" s="1" t="str">
        <f t="shared" si="9"/>
        <v>Estimación de costos de estación de transferencia</v>
      </c>
      <c r="B593" s="1" t="s">
        <v>1191</v>
      </c>
      <c r="C593" t="s">
        <v>65</v>
      </c>
    </row>
    <row r="594" spans="1:3" x14ac:dyDescent="0.35">
      <c r="A594" s="1" t="str">
        <f t="shared" si="9"/>
        <v>Costo total de estaciones de transferencia [$$$]</v>
      </c>
      <c r="B594" s="1" t="str">
        <f>_xlfn.CONCAT("Total cost of transfer station [",Info!C5,"]")</f>
        <v>Total cost of transfer station [$$$]</v>
      </c>
      <c r="C594" t="str">
        <f>_xlfn.CONCAT("Costo total de estaciones de transferencia [",Info!C5,"]")</f>
        <v>Costo total de estaciones de transferencia [$$$]</v>
      </c>
    </row>
    <row r="595" spans="1:3" x14ac:dyDescent="0.35">
      <c r="A595" s="1" t="str">
        <f t="shared" si="9"/>
        <v>Estimación de costos de salarios, prestaciones y equipamientos laboral</v>
      </c>
      <c r="B595" s="1" t="s">
        <v>1192</v>
      </c>
      <c r="C595" t="s">
        <v>69</v>
      </c>
    </row>
    <row r="596" spans="1:3" x14ac:dyDescent="0.35">
      <c r="A596" s="1" t="str">
        <f t="shared" si="9"/>
        <v>Cantidad de estaciones de transferencias</v>
      </c>
      <c r="B596" s="1" t="s">
        <v>1193</v>
      </c>
      <c r="C596" t="s">
        <v>66</v>
      </c>
    </row>
    <row r="597" spans="1:3" x14ac:dyDescent="0.35">
      <c r="A597" s="1" t="str">
        <f t="shared" si="9"/>
        <v>Cantidad de choferes de camiones de recolección</v>
      </c>
      <c r="B597" s="1" t="s">
        <v>1194</v>
      </c>
      <c r="C597" t="s">
        <v>67</v>
      </c>
    </row>
    <row r="598" spans="1:3" x14ac:dyDescent="0.35">
      <c r="A598" s="1" t="str">
        <f t="shared" si="9"/>
        <v>Cantidad de ayudantes por camión recolector</v>
      </c>
      <c r="B598" s="1" t="s">
        <v>1195</v>
      </c>
      <c r="C598" t="s">
        <v>238</v>
      </c>
    </row>
    <row r="599" spans="1:3" x14ac:dyDescent="0.35">
      <c r="A599" s="1" t="str">
        <f t="shared" si="9"/>
        <v>Cantidad total de ayudantes recolectores</v>
      </c>
      <c r="B599" s="1" t="s">
        <v>1196</v>
      </c>
      <c r="C599" t="s">
        <v>70</v>
      </c>
    </row>
    <row r="600" spans="1:3" x14ac:dyDescent="0.35">
      <c r="A600" s="1" t="str">
        <f t="shared" si="9"/>
        <v>Cantidad de choferes de camiones de transferencia</v>
      </c>
      <c r="B600" s="1" t="s">
        <v>1197</v>
      </c>
      <c r="C600" t="s">
        <v>68</v>
      </c>
    </row>
    <row r="601" spans="1:3" x14ac:dyDescent="0.35">
      <c r="A601" s="1" t="str">
        <f t="shared" si="9"/>
        <v>Cantidad de ayudantes por camión de transferencia</v>
      </c>
      <c r="B601" s="1" t="s">
        <v>1198</v>
      </c>
      <c r="C601" t="s">
        <v>239</v>
      </c>
    </row>
    <row r="602" spans="1:3" x14ac:dyDescent="0.35">
      <c r="A602" s="1" t="str">
        <f t="shared" si="9"/>
        <v>Cantidad total de ayudantes de camión de transferencia</v>
      </c>
      <c r="B602" s="1" t="s">
        <v>1199</v>
      </c>
      <c r="C602" t="s">
        <v>1672</v>
      </c>
    </row>
    <row r="603" spans="1:3" x14ac:dyDescent="0.35">
      <c r="A603" s="1" t="str">
        <f t="shared" si="9"/>
        <v>Cantidad de personal por estación de transferencia</v>
      </c>
      <c r="B603" s="1" t="s">
        <v>1200</v>
      </c>
      <c r="C603" t="s">
        <v>73</v>
      </c>
    </row>
    <row r="604" spans="1:3" x14ac:dyDescent="0.35">
      <c r="A604" s="1" t="str">
        <f t="shared" si="9"/>
        <v>Cantidad de trabajadores/as totales en estación de transferencia</v>
      </c>
      <c r="B604" s="1" t="s">
        <v>1201</v>
      </c>
      <c r="C604" t="s">
        <v>166</v>
      </c>
    </row>
    <row r="605" spans="1:3" x14ac:dyDescent="0.35">
      <c r="A605" s="1" t="str">
        <f t="shared" si="9"/>
        <v>Cantidad total de choferes</v>
      </c>
      <c r="B605" s="1" t="s">
        <v>1202</v>
      </c>
      <c r="C605" t="s">
        <v>71</v>
      </c>
    </row>
    <row r="606" spans="1:3" x14ac:dyDescent="0.35">
      <c r="A606" s="1" t="str">
        <f t="shared" si="9"/>
        <v>Cantidad total de ayudantes</v>
      </c>
      <c r="B606" s="1" t="s">
        <v>1203</v>
      </c>
      <c r="C606" t="s">
        <v>72</v>
      </c>
    </row>
    <row r="607" spans="1:3" x14ac:dyDescent="0.35">
      <c r="A607" s="1" t="str">
        <f t="shared" si="9"/>
        <v>Cantidad total de personal en centro de transferencia</v>
      </c>
      <c r="B607" s="1" t="s">
        <v>1204</v>
      </c>
      <c r="C607" t="s">
        <v>240</v>
      </c>
    </row>
    <row r="608" spans="1:3" x14ac:dyDescent="0.35">
      <c r="A608" s="1" t="str">
        <f t="shared" si="9"/>
        <v>Costos totales estación de transferencia [$$$/año]</v>
      </c>
      <c r="B608" s="1" t="str">
        <f>_xlfn.CONCAT("Total costs of transfer station [",Info!C5,"/year]")</f>
        <v>Total costs of transfer station [$$$/year]</v>
      </c>
      <c r="C608" t="str">
        <f>_xlfn.CONCAT("Costos totales estación de transferencia [",Info!C5,"/año]")</f>
        <v>Costos totales estación de transferencia [$$$/año]</v>
      </c>
    </row>
    <row r="609" spans="1:3" x14ac:dyDescent="0.35">
      <c r="A609" s="1" t="str">
        <f t="shared" si="9"/>
        <v>Costos totales servicio de recolección [$$$/año]</v>
      </c>
      <c r="B609" s="1" t="str">
        <f>_xlfn.CONCAT("Total costs for collection [",Info!C5,"/years]")</f>
        <v>Total costs for collection [$$$/years]</v>
      </c>
      <c r="C609" t="str">
        <f>_xlfn.CONCAT("Costos totales servicio de recolección [",Info!C5,"/año]")</f>
        <v>Costos totales servicio de recolección [$$$/año]</v>
      </c>
    </row>
    <row r="610" spans="1:3" x14ac:dyDescent="0.35">
      <c r="A610" s="1" t="str">
        <f t="shared" si="9"/>
        <v>Por defecto = 2, 4 para servicio sin contenedores</v>
      </c>
      <c r="B610" s="1" t="s">
        <v>1208</v>
      </c>
      <c r="C610" t="s">
        <v>1673</v>
      </c>
    </row>
    <row r="611" spans="1:3" x14ac:dyDescent="0.35">
      <c r="A611" s="1" t="str">
        <f t="shared" si="9"/>
        <v>Por defecto = 0</v>
      </c>
      <c r="B611" s="1" t="s">
        <v>1209</v>
      </c>
      <c r="C611" t="s">
        <v>168</v>
      </c>
    </row>
    <row r="612" spans="1:3" x14ac:dyDescent="0.35">
      <c r="A612" s="1" t="str">
        <f t="shared" si="9"/>
        <v>Por defecto = 2</v>
      </c>
      <c r="B612" s="1" t="s">
        <v>1205</v>
      </c>
      <c r="C612" t="s">
        <v>167</v>
      </c>
    </row>
    <row r="613" spans="1:3" x14ac:dyDescent="0.35">
      <c r="A613" s="1" t="str">
        <f t="shared" si="9"/>
        <v>Estimación de costos de uso de vehículos y amortización (vehículos y estación de transferencia)</v>
      </c>
      <c r="B613" s="1" t="s">
        <v>1245</v>
      </c>
      <c r="C613" t="s">
        <v>244</v>
      </c>
    </row>
    <row r="614" spans="1:3" x14ac:dyDescent="0.35">
      <c r="A614" s="1" t="str">
        <f t="shared" si="9"/>
        <v>Distancia semanal vehículos recolección (parqueo-ciudad) [km/semana]</v>
      </c>
      <c r="B614" s="1" t="s">
        <v>1247</v>
      </c>
      <c r="C614" t="s">
        <v>1584</v>
      </c>
    </row>
    <row r="615" spans="1:3" x14ac:dyDescent="0.35">
      <c r="A615" s="1" t="str">
        <f t="shared" si="9"/>
        <v>Distancia semana de recolección [km/semana]</v>
      </c>
      <c r="B615" s="1" t="s">
        <v>1246</v>
      </c>
      <c r="C615" t="s">
        <v>75</v>
      </c>
    </row>
    <row r="616" spans="1:3" ht="29" x14ac:dyDescent="0.35">
      <c r="A616" s="1" t="str">
        <f t="shared" si="9"/>
        <v>Distancia semanal vehículos de recolección de ciudad a estación de transferencia (o sitio de disposición final si no hay centro de transferencia) [km/semana]</v>
      </c>
      <c r="B616" s="1" t="s">
        <v>1248</v>
      </c>
      <c r="C616" s="1" t="s">
        <v>1588</v>
      </c>
    </row>
    <row r="617" spans="1:3" x14ac:dyDescent="0.35">
      <c r="A617" s="1" t="str">
        <f t="shared" si="9"/>
        <v>Distancia semanal de estación de transferencia a disposición final [km/semana]</v>
      </c>
      <c r="B617" s="1" t="s">
        <v>1107</v>
      </c>
      <c r="C617" t="s">
        <v>76</v>
      </c>
    </row>
    <row r="618" spans="1:3" x14ac:dyDescent="0.35">
      <c r="A618" s="1" t="str">
        <f t="shared" si="9"/>
        <v>Costo semanal recolección[$$$/semana]</v>
      </c>
      <c r="B618" s="1" t="str">
        <f>_xlfn.CONCAT("Weekly costs for collection [",Info!C5,"/week]")</f>
        <v>Weekly costs for collection [$$$/week]</v>
      </c>
      <c r="C618" t="str">
        <f>_xlfn.CONCAT("Costo semanal recolección[",Info!C5,"/semana]")</f>
        <v>Costo semanal recolección[$$$/semana]</v>
      </c>
    </row>
    <row r="619" spans="1:3" x14ac:dyDescent="0.35">
      <c r="A619" s="1" t="str">
        <f t="shared" si="9"/>
        <v>Costo semanal transferencia [$$$/semana]</v>
      </c>
      <c r="B619" s="1" t="str">
        <f>_xlfn.CONCAT("Weekly costs for transfer [",Info!C5,"/week]")</f>
        <v>Weekly costs for transfer [$$$/week]</v>
      </c>
      <c r="C619" t="str">
        <f>_xlfn.CONCAT("Costo semanal transferencia [",Info!C5,"/semana]")</f>
        <v>Costo semanal transferencia [$$$/semana]</v>
      </c>
    </row>
    <row r="620" spans="1:3" x14ac:dyDescent="0.35">
      <c r="A620" s="1" t="str">
        <f t="shared" si="9"/>
        <v>Costo semanal total [$$$/semana]</v>
      </c>
      <c r="B620" s="1" t="str">
        <f>_xlfn.CONCAT("Total weekly costs [",Info!C5,"/week]")</f>
        <v>Total weekly costs [$$$/week]</v>
      </c>
      <c r="C620" t="str">
        <f>_xlfn.CONCAT("Costo semanal total [",Info!C5,"/semana]")</f>
        <v>Costo semanal total [$$$/semana]</v>
      </c>
    </row>
    <row r="621" spans="1:3" x14ac:dyDescent="0.35">
      <c r="A621" s="1" t="str">
        <f t="shared" si="9"/>
        <v>Costo de gasolina recolección total [$$$/año]</v>
      </c>
      <c r="B621" s="1" t="str">
        <f>_xlfn.CONCAT("Cost of fuel for collection per year [",Info!C5,"/year]")</f>
        <v>Cost of fuel for collection per year [$$$/year]</v>
      </c>
      <c r="C621" t="str">
        <f>_xlfn.CONCAT("Costo de gasolina recolección total [",Info!C5,"/año]")</f>
        <v>Costo de gasolina recolección total [$$$/año]</v>
      </c>
    </row>
    <row r="622" spans="1:3" x14ac:dyDescent="0.35">
      <c r="A622" s="1" t="str">
        <f t="shared" si="9"/>
        <v>Costo de gasolina transferencia total [$$$/año]</v>
      </c>
      <c r="B622" s="1" t="str">
        <f>_xlfn.CONCAT("Cost of fuel for transfer per year [",Info!C5,"/year]")</f>
        <v>Cost of fuel for transfer per year [$$$/year]</v>
      </c>
      <c r="C622" t="str">
        <f>_xlfn.CONCAT("Costo de gasolina transferencia total [",Info!C5,"/año]")</f>
        <v>Costo de gasolina transferencia total [$$$/año]</v>
      </c>
    </row>
    <row r="623" spans="1:3" x14ac:dyDescent="0.35">
      <c r="A623" s="1" t="str">
        <f t="shared" si="9"/>
        <v>Costo de gasolina anual total [$$$/año]</v>
      </c>
      <c r="B623" s="1" t="str">
        <f>_xlfn.CONCAT("Total cost for fuel per year [",Info!C5,"/year]")</f>
        <v>Total cost for fuel per year [$$$/year]</v>
      </c>
      <c r="C623" t="str">
        <f>_xlfn.CONCAT("Costo de gasolina anual total [",Info!C5,"/año]")</f>
        <v>Costo de gasolina anual total [$$$/año]</v>
      </c>
    </row>
    <row r="624" spans="1:3" x14ac:dyDescent="0.35">
      <c r="A624" s="1" t="str">
        <f t="shared" si="9"/>
        <v>Costo de seguros de flota de vehículos [$$$/año]</v>
      </c>
      <c r="B624" s="1" t="str">
        <f>_xlfn.CONCAT("Total cost of insurance per year [",Info!C5,"/year]")</f>
        <v>Total cost of insurance per year [$$$/year]</v>
      </c>
      <c r="C624" t="str">
        <f>_xlfn.CONCAT("Costo de seguros de flota de vehículos [",Info!C5,"/año]")</f>
        <v>Costo de seguros de flota de vehículos [$$$/año]</v>
      </c>
    </row>
    <row r="625" spans="1:3" x14ac:dyDescent="0.35">
      <c r="A625" s="1" t="str">
        <f t="shared" si="9"/>
        <v>Costo de mantenimiento de flota de vehículos [$$$/año]</v>
      </c>
      <c r="B625" s="1" t="str">
        <f>_xlfn.CONCAT("Total cost of maintenance per year [",Info!C5,"/year]")</f>
        <v>Total cost of maintenance per year [$$$/year]</v>
      </c>
      <c r="C625" t="str">
        <f>_xlfn.CONCAT("Costo de mantenimiento de flota de vehículos [",Info!C5,"/año]")</f>
        <v>Costo de mantenimiento de flota de vehículos [$$$/año]</v>
      </c>
    </row>
    <row r="626" spans="1:3" x14ac:dyDescent="0.35">
      <c r="A626" s="1" t="str">
        <f t="shared" si="9"/>
        <v>Tasa de interés para cálculo de préstamo [%]</v>
      </c>
      <c r="B626" s="1" t="s">
        <v>1108</v>
      </c>
      <c r="C626" t="s">
        <v>1650</v>
      </c>
    </row>
    <row r="627" spans="1:3" x14ac:dyDescent="0.35">
      <c r="A627" s="1" t="str">
        <f t="shared" si="9"/>
        <v>Tiempo de depreciación vehículo de recolección [años]</v>
      </c>
      <c r="B627" s="1" t="s">
        <v>1249</v>
      </c>
      <c r="C627" t="s">
        <v>1589</v>
      </c>
    </row>
    <row r="628" spans="1:3" x14ac:dyDescent="0.35">
      <c r="A628" s="1" t="str">
        <f t="shared" si="9"/>
        <v>Tiempo de depreciación vehículo de transferencia [años]</v>
      </c>
      <c r="B628" s="1" t="s">
        <v>1250</v>
      </c>
      <c r="C628" t="s">
        <v>1590</v>
      </c>
    </row>
    <row r="629" spans="1:3" x14ac:dyDescent="0.35">
      <c r="A629" s="1" t="str">
        <f t="shared" si="9"/>
        <v>Amortización de estación de transferencia [$$$/año]</v>
      </c>
      <c r="B629" s="1" t="str">
        <f>_xlfn.CONCAT("Amortization of transfer station [",Info!C5,"/year]")</f>
        <v>Amortization of transfer station [$$$/year]</v>
      </c>
      <c r="C629" t="str">
        <f>_xlfn.CONCAT("Amortización de estación de transferencia [",Info!C5,"/año]")</f>
        <v>Amortización de estación de transferencia [$$$/año]</v>
      </c>
    </row>
    <row r="630" spans="1:3" x14ac:dyDescent="0.35">
      <c r="A630" s="1" t="str">
        <f t="shared" si="9"/>
        <v>Amortización de camiones de recolección [$$$/año]</v>
      </c>
      <c r="B630" s="1" t="str">
        <f>_xlfn.CONCAT("Amortization of collection vehicles [",Info!C5,"/year]")</f>
        <v>Amortization of collection vehicles [$$$/year]</v>
      </c>
      <c r="C630" t="str">
        <f>_xlfn.CONCAT("Amortización de camiones de recolección [",Info!C5,"/año]")</f>
        <v>Amortización de camiones de recolección [$$$/año]</v>
      </c>
    </row>
    <row r="631" spans="1:3" x14ac:dyDescent="0.35">
      <c r="A631" s="1" t="str">
        <f t="shared" si="9"/>
        <v>Amortización de contenedores [$$$/año]</v>
      </c>
      <c r="B631" s="1" t="str">
        <f>_xlfn.CONCAT("Amortization of containers [",Info!C5,"/year]")</f>
        <v>Amortization of containers [$$$/year]</v>
      </c>
      <c r="C631" t="str">
        <f>_xlfn.CONCAT("Amortización de contenedores [",Info!C5,"/año]")</f>
        <v>Amortización de contenedores [$$$/año]</v>
      </c>
    </row>
    <row r="632" spans="1:3" x14ac:dyDescent="0.35">
      <c r="A632" s="1" t="str">
        <f t="shared" si="9"/>
        <v>Amortización de camiones de transferencia [$$$/año]</v>
      </c>
      <c r="B632" s="1" t="str">
        <f>_xlfn.CONCAT("Amortization of transfer vehicles [",Info!C5,"/year]")</f>
        <v>Amortization of transfer vehicles [$$$/year]</v>
      </c>
      <c r="C632" t="str">
        <f>_xlfn.CONCAT("Amortización de camiones de transferencia [",Info!C5,"/año]")</f>
        <v>Amortización de camiones de transferencia [$$$/año]</v>
      </c>
    </row>
    <row r="633" spans="1:3" x14ac:dyDescent="0.35">
      <c r="A633" s="1" t="str">
        <f t="shared" si="9"/>
        <v>Kilometraje de vehículos de recolección total por año [km/año]</v>
      </c>
      <c r="B633" s="1" t="s">
        <v>1251</v>
      </c>
      <c r="C633" t="s">
        <v>1674</v>
      </c>
    </row>
    <row r="634" spans="1:3" x14ac:dyDescent="0.35">
      <c r="A634" s="1" t="str">
        <f t="shared" si="9"/>
        <v>Kilometraje de vehículos de transferencia total por año [km/año]</v>
      </c>
      <c r="B634" s="1" t="s">
        <v>1252</v>
      </c>
      <c r="C634" t="s">
        <v>1675</v>
      </c>
    </row>
    <row r="635" spans="1:3" x14ac:dyDescent="0.35">
      <c r="A635" s="1" t="str">
        <f t="shared" si="9"/>
        <v>Kilometraje total del servicio [km/año]</v>
      </c>
      <c r="B635" s="1" t="s">
        <v>1253</v>
      </c>
      <c r="C635" t="s">
        <v>310</v>
      </c>
    </row>
    <row r="636" spans="1:3" x14ac:dyDescent="0.35">
      <c r="A636" s="1" t="str">
        <f t="shared" si="9"/>
        <v>Kilometraje anual por vehículo de recolección [km/año*vehículo]</v>
      </c>
      <c r="B636" s="1" t="s">
        <v>1254</v>
      </c>
      <c r="C636" t="s">
        <v>1591</v>
      </c>
    </row>
    <row r="637" spans="1:3" x14ac:dyDescent="0.35">
      <c r="A637" s="1" t="str">
        <f t="shared" si="9"/>
        <v>Kilometraje anual por vehículo de transferencia [km/año*vehículo]</v>
      </c>
      <c r="B637" s="1" t="s">
        <v>1255</v>
      </c>
      <c r="C637" t="s">
        <v>1592</v>
      </c>
    </row>
    <row r="638" spans="1:3" x14ac:dyDescent="0.35">
      <c r="A638" s="1" t="str">
        <f t="shared" si="9"/>
        <v>Por defecto = 5%</v>
      </c>
      <c r="B638" s="1" t="s">
        <v>1207</v>
      </c>
      <c r="C638" t="s">
        <v>169</v>
      </c>
    </row>
    <row r="639" spans="1:3" x14ac:dyDescent="0.35">
      <c r="A639" s="1" t="str">
        <f t="shared" si="9"/>
        <v>Distribución de kilometraje de vehículos de recolección</v>
      </c>
      <c r="B639" s="1" t="s">
        <v>1256</v>
      </c>
      <c r="C639" t="s">
        <v>1593</v>
      </c>
    </row>
    <row r="640" spans="1:3" x14ac:dyDescent="0.35">
      <c r="A640" s="1" t="str">
        <f t="shared" si="9"/>
        <v>Recolección [%]</v>
      </c>
      <c r="B640" s="1" t="s">
        <v>1169</v>
      </c>
      <c r="C640" t="s">
        <v>315</v>
      </c>
    </row>
    <row r="641" spans="1:3" x14ac:dyDescent="0.35">
      <c r="A641" s="1" t="str">
        <f t="shared" si="9"/>
        <v>Transporte [%]</v>
      </c>
      <c r="B641" s="1" t="s">
        <v>1170</v>
      </c>
      <c r="C641" t="s">
        <v>316</v>
      </c>
    </row>
    <row r="642" spans="1:3" x14ac:dyDescent="0.35">
      <c r="A642" s="1" t="str">
        <f t="shared" ref="A642:A705" si="10">HLOOKUP($A$1,B:K,ROW(A642),0)</f>
        <v>Estimación de costos de disposición final</v>
      </c>
      <c r="B642" s="1" t="s">
        <v>1257</v>
      </c>
      <c r="C642" t="s">
        <v>77</v>
      </c>
    </row>
    <row r="643" spans="1:3" x14ac:dyDescent="0.35">
      <c r="A643" s="1" t="str">
        <f t="shared" si="10"/>
        <v>Costos estimados de disposición final (operación, mantenimiento y inversión) por tonelada [$$$/ton]</v>
      </c>
      <c r="B643" s="1" t="str">
        <f>_xlfn.CONCAT("Estimated costs of final disposal (operation, maintenance and investment) per ton [",Info!C5,"/ton]")</f>
        <v>Estimated costs of final disposal (operation, maintenance and investment) per ton [$$$/ton]</v>
      </c>
      <c r="C643" t="str">
        <f>_xlfn.CONCAT("Costos estimados de disposición final (operación, mantenimiento y inversión) por tonelada [",Info!C5,"/ton]")</f>
        <v>Costos estimados de disposición final (operación, mantenimiento y inversión) por tonelada [$$$/ton]</v>
      </c>
    </row>
    <row r="644" spans="1:3" x14ac:dyDescent="0.35">
      <c r="A644" s="1" t="str">
        <f t="shared" si="10"/>
        <v>Toneladas anuales depositadas [ton/año]</v>
      </c>
      <c r="B644" s="1" t="s">
        <v>1258</v>
      </c>
      <c r="C644" t="s">
        <v>78</v>
      </c>
    </row>
    <row r="645" spans="1:3" x14ac:dyDescent="0.35">
      <c r="A645" s="1" t="str">
        <f t="shared" si="10"/>
        <v>Costos anuales totales [$$$/año]</v>
      </c>
      <c r="B645" s="1" t="str">
        <f>_xlfn.CONCAT("Costs of final disposal per year [",Info!C5,"/year]")</f>
        <v>Costs of final disposal per year [$$$/year]</v>
      </c>
      <c r="C645" t="str">
        <f>_xlfn.CONCAT("Costos anuales totales [",Info!C5,"/año]")</f>
        <v>Costos anuales totales [$$$/año]</v>
      </c>
    </row>
    <row r="646" spans="1:3" x14ac:dyDescent="0.35">
      <c r="A646" s="1" t="str">
        <f t="shared" si="10"/>
        <v>Por defecto = 140</v>
      </c>
      <c r="B646" s="1" t="s">
        <v>1239</v>
      </c>
      <c r="C646" t="s">
        <v>208</v>
      </c>
    </row>
    <row r="647" spans="1:3" x14ac:dyDescent="0.35">
      <c r="A647" s="1" t="str">
        <f t="shared" si="10"/>
        <v>Estimación de costos de compostaje</v>
      </c>
      <c r="B647" s="1" t="s">
        <v>1259</v>
      </c>
      <c r="C647" t="s">
        <v>111</v>
      </c>
    </row>
    <row r="648" spans="1:3" ht="29" x14ac:dyDescent="0.35">
      <c r="A648" s="1" t="str">
        <f t="shared" si="10"/>
        <v>Costos estimados de compostaje (operación, mantenimiento e inversión) por tonelada de residuos orgánicos entrantes [$$$/ton]</v>
      </c>
      <c r="B648" s="1" t="str">
        <f>_xlfn.CONCAT("Estimated costs for composting (operations, maintenance and investment) per ton of organic waste entering the plant [",Info!C5,"/ton]")</f>
        <v>Estimated costs for composting (operations, maintenance and investment) per ton of organic waste entering the plant [$$$/ton]</v>
      </c>
      <c r="C648" t="str">
        <f>_xlfn.CONCAT("Costos estimados de compostaje (operación, mantenimiento e inversión) por tonelada de residuos orgánicos entrantes [",Info!C5,"/ton]")</f>
        <v>Costos estimados de compostaje (operación, mantenimiento e inversión) por tonelada de residuos orgánicos entrantes [$$$/ton]</v>
      </c>
    </row>
    <row r="649" spans="1:3" x14ac:dyDescent="0.35">
      <c r="A649" s="1" t="str">
        <f t="shared" si="10"/>
        <v>Ingresos estimados por la venta del material compostado [$$$/ton]</v>
      </c>
      <c r="B649" s="1" t="str">
        <f>_xlfn.CONCAT("Estimated income from sales of compost [",Info!C5,"/ton]")</f>
        <v>Estimated income from sales of compost [$$$/ton]</v>
      </c>
      <c r="C649" t="str">
        <f>_xlfn.CONCAT("Ingresos estimados por la venta del material compostado [",Info!C5,"/ton]")</f>
        <v>Ingresos estimados por la venta del material compostado [$$$/ton]</v>
      </c>
    </row>
    <row r="650" spans="1:3" x14ac:dyDescent="0.35">
      <c r="A650" s="1" t="str">
        <f t="shared" si="10"/>
        <v>Toneladas anuales entrantes [ton/año]</v>
      </c>
      <c r="B650" s="1" t="s">
        <v>1260</v>
      </c>
      <c r="C650" t="s">
        <v>112</v>
      </c>
    </row>
    <row r="651" spans="1:3" x14ac:dyDescent="0.35">
      <c r="A651" s="1" t="str">
        <f t="shared" si="10"/>
        <v>Factor de perdida de masa por compostaje [%]</v>
      </c>
      <c r="B651" s="1" t="s">
        <v>1261</v>
      </c>
      <c r="C651" t="s">
        <v>661</v>
      </c>
    </row>
    <row r="652" spans="1:3" x14ac:dyDescent="0.35">
      <c r="A652" s="1" t="str">
        <f t="shared" si="10"/>
        <v>Toneladas de compost producidas [ton/año]</v>
      </c>
      <c r="B652" s="1" t="s">
        <v>1262</v>
      </c>
      <c r="C652" t="s">
        <v>113</v>
      </c>
    </row>
    <row r="653" spans="1:3" x14ac:dyDescent="0.35">
      <c r="A653" s="1" t="str">
        <f t="shared" si="10"/>
        <v>Costos anuales totales [$$$/año]</v>
      </c>
      <c r="B653" s="1" t="str">
        <f>_xlfn.CONCAT("Cost per year for composting [",Info!C5,"/year]")</f>
        <v>Cost per year for composting [$$$/year]</v>
      </c>
      <c r="C653" t="str">
        <f>_xlfn.CONCAT("Costos anuales totales [",Info!C5,"/año]")</f>
        <v>Costos anuales totales [$$$/año]</v>
      </c>
    </row>
    <row r="654" spans="1:3" x14ac:dyDescent="0.35">
      <c r="A654" s="1" t="str">
        <f t="shared" si="10"/>
        <v>Por defecto = 140</v>
      </c>
      <c r="B654" s="1" t="s">
        <v>1239</v>
      </c>
      <c r="C654" t="s">
        <v>208</v>
      </c>
    </row>
    <row r="655" spans="1:3" x14ac:dyDescent="0.35">
      <c r="A655" s="1" t="str">
        <f t="shared" si="10"/>
        <v>Por defecto = 14</v>
      </c>
      <c r="B655" s="1" t="s">
        <v>1263</v>
      </c>
      <c r="C655" t="s">
        <v>209</v>
      </c>
    </row>
    <row r="656" spans="1:3" x14ac:dyDescent="0.35">
      <c r="A656" s="1" t="str">
        <f t="shared" si="10"/>
        <v>Por defecto = 0.6</v>
      </c>
      <c r="B656" s="1" t="s">
        <v>1264</v>
      </c>
      <c r="C656" t="s">
        <v>170</v>
      </c>
    </row>
    <row r="657" spans="1:3" x14ac:dyDescent="0.35">
      <c r="A657" s="1" t="str">
        <f t="shared" si="10"/>
        <v>Estimación de costos de reciclaje</v>
      </c>
      <c r="B657" s="1" t="s">
        <v>1265</v>
      </c>
      <c r="C657" t="s">
        <v>1266</v>
      </c>
    </row>
    <row r="658" spans="1:3" ht="29" x14ac:dyDescent="0.35">
      <c r="A658" s="1" t="str">
        <f t="shared" si="10"/>
        <v>Costos estimados de gestión de reciclables (operación, mantenimiento e inversión) por tonelada de residuos reciclables entrantes [$$$/ton]</v>
      </c>
      <c r="B658" s="1" t="str">
        <f>CONCATENATE("Estimated costs for recyclable management (operations, maintenance and investment) per ton of recyclable waste entering the plant [",Info!C5,"/ton]")</f>
        <v>Estimated costs for recyclable management (operations, maintenance and investment) per ton of recyclable waste entering the plant [$$$/ton]</v>
      </c>
      <c r="C658" t="str">
        <f>_xlfn.CONCAT("Costos estimados de gestión de reciclables (operación, mantenimiento e inversión) por tonelada de residuos reciclables entrantes [",Info!C5,"/ton]")</f>
        <v>Costos estimados de gestión de reciclables (operación, mantenimiento e inversión) por tonelada de residuos reciclables entrantes [$$$/ton]</v>
      </c>
    </row>
    <row r="659" spans="1:3" x14ac:dyDescent="0.35">
      <c r="A659" s="1" t="str">
        <f t="shared" si="10"/>
        <v>Ingresos estimados por la venta del material clasificado [$$$/ton]</v>
      </c>
      <c r="B659" s="1" t="str">
        <f>_xlfn.CONCAT("Estimated income from sales of segregated recyclables [",Info!C5,"/ton]")</f>
        <v>Estimated income from sales of segregated recyclables [$$$/ton]</v>
      </c>
      <c r="C659" t="str">
        <f>_xlfn.CONCAT("Ingresos estimados por la venta del material clasificado [",Info!C5,"/ton]")</f>
        <v>Ingresos estimados por la venta del material clasificado [$$$/ton]</v>
      </c>
    </row>
    <row r="660" spans="1:3" x14ac:dyDescent="0.35">
      <c r="A660" s="1" t="str">
        <f t="shared" si="10"/>
        <v>Toneladas de material reciclable entrante anualmente [ton/año]</v>
      </c>
      <c r="B660" s="1" t="s">
        <v>1267</v>
      </c>
      <c r="C660" t="s">
        <v>241</v>
      </c>
    </row>
    <row r="661" spans="1:3" x14ac:dyDescent="0.35">
      <c r="A661" s="1" t="str">
        <f t="shared" si="10"/>
        <v>Eficiencia de planta [%]</v>
      </c>
      <c r="B661" s="1" t="s">
        <v>1533</v>
      </c>
      <c r="C661" t="s">
        <v>114</v>
      </c>
    </row>
    <row r="662" spans="1:3" x14ac:dyDescent="0.35">
      <c r="A662" s="1" t="str">
        <f t="shared" si="10"/>
        <v>Toneladas de material reciclable que se puede vender anualmente [ton/año]</v>
      </c>
      <c r="B662" s="1" t="s">
        <v>1268</v>
      </c>
      <c r="C662" t="s">
        <v>242</v>
      </c>
    </row>
    <row r="663" spans="1:3" x14ac:dyDescent="0.35">
      <c r="A663" s="1" t="str">
        <f t="shared" si="10"/>
        <v>Toneladas de material que se deben llevar al sitio de disposición final [ton/año]</v>
      </c>
      <c r="B663" s="1" t="s">
        <v>1269</v>
      </c>
      <c r="C663" t="s">
        <v>115</v>
      </c>
    </row>
    <row r="664" spans="1:3" x14ac:dyDescent="0.35">
      <c r="A664" s="1" t="str">
        <f t="shared" si="10"/>
        <v>Costos anuales totales [$$$/año]</v>
      </c>
      <c r="B664" s="1" t="str">
        <f>_xlfn.CONCAT("Costs per year for recycling [",Info!C5,"/year]")</f>
        <v>Costs per year for recycling [$$$/year]</v>
      </c>
      <c r="C664" t="str">
        <f>_xlfn.CONCAT("Costos anuales totales [",Info!C5,"/año]")</f>
        <v>Costos anuales totales [$$$/año]</v>
      </c>
    </row>
    <row r="665" spans="1:3" x14ac:dyDescent="0.35">
      <c r="A665" s="1" t="str">
        <f t="shared" si="10"/>
        <v>Por defecto = 140</v>
      </c>
      <c r="B665" s="1" t="s">
        <v>1239</v>
      </c>
      <c r="C665" t="s">
        <v>208</v>
      </c>
    </row>
    <row r="666" spans="1:3" x14ac:dyDescent="0.35">
      <c r="A666" s="1" t="str">
        <f t="shared" si="10"/>
        <v>Por defecto = 100</v>
      </c>
      <c r="B666" s="1" t="s">
        <v>1240</v>
      </c>
      <c r="C666" t="s">
        <v>207</v>
      </c>
    </row>
    <row r="667" spans="1:3" x14ac:dyDescent="0.35">
      <c r="A667" s="1" t="str">
        <f t="shared" si="10"/>
        <v>Estimación de costos administrativos</v>
      </c>
      <c r="B667" s="1" t="s">
        <v>1270</v>
      </c>
      <c r="C667" t="s">
        <v>90</v>
      </c>
    </row>
    <row r="668" spans="1:3" x14ac:dyDescent="0.35">
      <c r="A668" s="1" t="str">
        <f t="shared" si="10"/>
        <v>Porcentaje del total de costos anuales [%]</v>
      </c>
      <c r="B668" s="1" t="s">
        <v>1271</v>
      </c>
      <c r="C668" t="s">
        <v>91</v>
      </c>
    </row>
    <row r="669" spans="1:3" x14ac:dyDescent="0.35">
      <c r="A669" s="1" t="str">
        <f t="shared" si="10"/>
        <v>Estimación de costos de planificación y fiscalización</v>
      </c>
      <c r="B669" s="1" t="s">
        <v>1272</v>
      </c>
      <c r="C669" t="s">
        <v>267</v>
      </c>
    </row>
    <row r="670" spans="1:3" x14ac:dyDescent="0.35">
      <c r="A670" s="1" t="str">
        <f t="shared" si="10"/>
        <v>Porcentaje del total de costos anuales [%]</v>
      </c>
      <c r="B670" s="1" t="s">
        <v>1271</v>
      </c>
      <c r="C670" t="s">
        <v>91</v>
      </c>
    </row>
    <row r="671" spans="1:3" x14ac:dyDescent="0.35">
      <c r="A671" s="1" t="str">
        <f t="shared" si="10"/>
        <v>Estimación de costos blandos (formación, educación, comunicación)</v>
      </c>
      <c r="B671" s="1" t="s">
        <v>1534</v>
      </c>
      <c r="C671" t="s">
        <v>171</v>
      </c>
    </row>
    <row r="672" spans="1:3" x14ac:dyDescent="0.35">
      <c r="A672" s="1" t="str">
        <f t="shared" si="10"/>
        <v>Porcentaje del total de costos anuales [%]</v>
      </c>
      <c r="B672" s="1" t="s">
        <v>1271</v>
      </c>
      <c r="C672" t="s">
        <v>91</v>
      </c>
    </row>
    <row r="673" spans="1:3" x14ac:dyDescent="0.35">
      <c r="A673" s="1" t="str">
        <f t="shared" si="10"/>
        <v>Por defecto = 10%</v>
      </c>
      <c r="B673" s="1" t="s">
        <v>1273</v>
      </c>
      <c r="C673" t="s">
        <v>587</v>
      </c>
    </row>
    <row r="674" spans="1:3" x14ac:dyDescent="0.35">
      <c r="A674" s="1" t="str">
        <f t="shared" si="10"/>
        <v>Por defecto = 2%</v>
      </c>
      <c r="B674" s="1" t="s">
        <v>1274</v>
      </c>
      <c r="C674" t="s">
        <v>279</v>
      </c>
    </row>
    <row r="675" spans="1:3" x14ac:dyDescent="0.35">
      <c r="A675" s="1" t="str">
        <f t="shared" si="10"/>
        <v>Por defecto = 5%</v>
      </c>
      <c r="B675" s="1" t="s">
        <v>1207</v>
      </c>
      <c r="C675" t="s">
        <v>169</v>
      </c>
    </row>
    <row r="676" spans="1:3" x14ac:dyDescent="0.35">
      <c r="A676" s="1" t="str">
        <f t="shared" si="10"/>
        <v>Estimación de costos de barrido/limpieza urbana</v>
      </c>
      <c r="B676" s="1" t="s">
        <v>1275</v>
      </c>
      <c r="C676" t="s">
        <v>1414</v>
      </c>
    </row>
    <row r="677" spans="1:3" x14ac:dyDescent="0.35">
      <c r="A677" s="1" t="str">
        <f t="shared" si="10"/>
        <v>Limpieza manual de vías</v>
      </c>
      <c r="B677" s="1" t="s">
        <v>1029</v>
      </c>
      <c r="C677" t="s">
        <v>1677</v>
      </c>
    </row>
    <row r="678" spans="1:3" x14ac:dyDescent="0.35">
      <c r="A678" s="1" t="str">
        <f t="shared" si="10"/>
        <v>Longitud de carretera limpiada por semana [km/semana]</v>
      </c>
      <c r="B678" s="1" t="s">
        <v>1276</v>
      </c>
      <c r="C678" t="s">
        <v>556</v>
      </c>
    </row>
    <row r="679" spans="1:3" x14ac:dyDescent="0.35">
      <c r="A679" s="1" t="str">
        <f t="shared" si="10"/>
        <v>Longitud de carretera a limpiar por año [km/año]</v>
      </c>
      <c r="B679" s="1" t="s">
        <v>1277</v>
      </c>
      <c r="C679" t="s">
        <v>557</v>
      </c>
    </row>
    <row r="680" spans="1:3" x14ac:dyDescent="0.35">
      <c r="A680" s="1" t="str">
        <f t="shared" si="10"/>
        <v>Capacidad de limpieza por empleada/o por año [km/año]</v>
      </c>
      <c r="B680" s="1" t="s">
        <v>1278</v>
      </c>
      <c r="C680" t="s">
        <v>1279</v>
      </c>
    </row>
    <row r="681" spans="1:3" x14ac:dyDescent="0.35">
      <c r="A681" s="1" t="str">
        <f t="shared" si="10"/>
        <v>Cantidad de empleadas/os necesarios</v>
      </c>
      <c r="B681" s="1" t="s">
        <v>1280</v>
      </c>
      <c r="C681" t="s">
        <v>663</v>
      </c>
    </row>
    <row r="682" spans="1:3" x14ac:dyDescent="0.35">
      <c r="A682" s="1" t="str">
        <f t="shared" si="10"/>
        <v>Costos anuales personal [$$$/año]</v>
      </c>
      <c r="B682" s="1" t="str">
        <f>_xlfn.CONCAT("Costs of personnel per year [",Info!C5,"/year]")</f>
        <v>Costs of personnel per year [$$$/year]</v>
      </c>
      <c r="C682" t="str">
        <f>_xlfn.CONCAT("Costos anuales personal [",Info!C5,"/año]")</f>
        <v>Costos anuales personal [$$$/año]</v>
      </c>
    </row>
    <row r="683" spans="1:3" x14ac:dyDescent="0.35">
      <c r="A683" s="1" t="str">
        <f t="shared" si="10"/>
        <v>Costos anuales materiales [$$$/año]</v>
      </c>
      <c r="B683" s="1" t="str">
        <f>_xlfn.CONCAT("Costs of materials per year [",Info!C5,"/year]")</f>
        <v>Costs of materials per year [$$$/year]</v>
      </c>
      <c r="C683" t="str">
        <f>_xlfn.CONCAT("Costos anuales materiales [",Info!C5,"/año]")</f>
        <v>Costos anuales materiales [$$$/año]</v>
      </c>
    </row>
    <row r="684" spans="1:3" x14ac:dyDescent="0.35">
      <c r="A684" s="1" t="str">
        <f t="shared" si="10"/>
        <v>Limpieza mecanizada de vías</v>
      </c>
      <c r="B684" s="1" t="s">
        <v>1037</v>
      </c>
      <c r="C684" t="s">
        <v>1678</v>
      </c>
    </row>
    <row r="685" spans="1:3" x14ac:dyDescent="0.35">
      <c r="A685" s="1" t="str">
        <f t="shared" si="10"/>
        <v>Longitud de carretera limpiada por semana [km/semana]</v>
      </c>
      <c r="B685" s="1" t="s">
        <v>1276</v>
      </c>
      <c r="C685" t="s">
        <v>556</v>
      </c>
    </row>
    <row r="686" spans="1:3" x14ac:dyDescent="0.35">
      <c r="A686" s="1" t="str">
        <f t="shared" si="10"/>
        <v>Longitud de carretera a limpiar por año [km/año]</v>
      </c>
      <c r="B686" s="1" t="s">
        <v>1277</v>
      </c>
      <c r="C686" t="s">
        <v>557</v>
      </c>
    </row>
    <row r="687" spans="1:3" x14ac:dyDescent="0.35">
      <c r="A687" s="1" t="str">
        <f t="shared" si="10"/>
        <v>Capacidad de limpieza por empleada/o por año[km/año]</v>
      </c>
      <c r="B687" s="1" t="s">
        <v>1278</v>
      </c>
      <c r="C687" t="s">
        <v>558</v>
      </c>
    </row>
    <row r="688" spans="1:3" x14ac:dyDescent="0.35">
      <c r="A688" s="1" t="str">
        <f t="shared" si="10"/>
        <v>Cantidad de empleadas/os necesarios (y de vehículos)</v>
      </c>
      <c r="B688" s="1" t="s">
        <v>1280</v>
      </c>
      <c r="C688" t="s">
        <v>1594</v>
      </c>
    </row>
    <row r="689" spans="1:3" x14ac:dyDescent="0.35">
      <c r="A689" s="1" t="str">
        <f t="shared" si="10"/>
        <v>Costos anuales personal [$$$/año]</v>
      </c>
      <c r="B689" s="1" t="str">
        <f>_xlfn.CONCAT("Costs of personnel per year [",Info!C5,"/year]")</f>
        <v>Costs of personnel per year [$$$/year]</v>
      </c>
      <c r="C689" t="str">
        <f>_xlfn.CONCAT("Costos anuales personal [",Info!C5,"/año]")</f>
        <v>Costos anuales personal [$$$/año]</v>
      </c>
    </row>
    <row r="690" spans="1:3" x14ac:dyDescent="0.35">
      <c r="A690" s="1" t="str">
        <f t="shared" si="10"/>
        <v>Costos anuales materiales [$$$/año]</v>
      </c>
      <c r="B690" s="1" t="str">
        <f>_xlfn.CONCAT("Costs of materials per year [",Info!C5,"/year]")</f>
        <v>Costs of materials per year [$$$/year]</v>
      </c>
      <c r="C690" t="str">
        <f>_xlfn.CONCAT("Costos anuales materiales [",Info!C5,"/año]")</f>
        <v>Costos anuales materiales [$$$/año]</v>
      </c>
    </row>
    <row r="691" spans="1:3" x14ac:dyDescent="0.35">
      <c r="A691" s="1" t="str">
        <f t="shared" si="10"/>
        <v>Costos anuales de compra de vehículos [$$$/año]</v>
      </c>
      <c r="B691" s="1" t="str">
        <f>_xlfn.CONCAT("Cost of purchase of vehicles per year [",Info!C5,"/year]")</f>
        <v>Cost of purchase of vehicles per year [$$$/year]</v>
      </c>
      <c r="C691" t="str">
        <f>_xlfn.CONCAT("Costos anuales de compra de vehículos [",Info!C5,"/año]")</f>
        <v>Costos anuales de compra de vehículos [$$$/año]</v>
      </c>
    </row>
    <row r="692" spans="1:3" x14ac:dyDescent="0.35">
      <c r="A692" s="1" t="str">
        <f t="shared" si="10"/>
        <v>Limpieza de áreas públicas (plazas)</v>
      </c>
      <c r="B692" s="1" t="s">
        <v>1281</v>
      </c>
      <c r="C692" t="s">
        <v>1601</v>
      </c>
    </row>
    <row r="693" spans="1:3" x14ac:dyDescent="0.35">
      <c r="A693" s="1" t="str">
        <f t="shared" si="10"/>
        <v>área pública limpiada por semana [km2/semana]</v>
      </c>
      <c r="B693" s="1" t="s">
        <v>1666</v>
      </c>
      <c r="C693" t="s">
        <v>1602</v>
      </c>
    </row>
    <row r="694" spans="1:3" x14ac:dyDescent="0.35">
      <c r="A694" s="1" t="str">
        <f t="shared" si="10"/>
        <v>área pública limpiada por año [km2/año]</v>
      </c>
      <c r="B694" s="1" t="s">
        <v>1667</v>
      </c>
      <c r="C694" t="s">
        <v>1603</v>
      </c>
    </row>
    <row r="695" spans="1:3" x14ac:dyDescent="0.35">
      <c r="A695" s="1" t="str">
        <f t="shared" si="10"/>
        <v>Capacidad de limpieza por empleada/o por año [km2/año]</v>
      </c>
      <c r="B695" s="1" t="s">
        <v>1282</v>
      </c>
      <c r="C695" t="s">
        <v>1283</v>
      </c>
    </row>
    <row r="696" spans="1:3" x14ac:dyDescent="0.35">
      <c r="A696" s="1" t="str">
        <f t="shared" si="10"/>
        <v>Cantidad de empleadas/os necesarios</v>
      </c>
      <c r="B696" s="1" t="s">
        <v>1280</v>
      </c>
      <c r="C696" t="s">
        <v>663</v>
      </c>
    </row>
    <row r="697" spans="1:3" x14ac:dyDescent="0.35">
      <c r="A697" s="1" t="str">
        <f t="shared" si="10"/>
        <v>Cantidad de empleadas/os por supervisor/a</v>
      </c>
      <c r="B697" s="1" t="s">
        <v>1284</v>
      </c>
      <c r="C697" t="s">
        <v>662</v>
      </c>
    </row>
    <row r="698" spans="1:3" x14ac:dyDescent="0.35">
      <c r="A698" s="1" t="str">
        <f t="shared" si="10"/>
        <v>Cantidad de supervisoras/es (para barrido/limpieza urbana)</v>
      </c>
      <c r="B698" s="1" t="s">
        <v>1285</v>
      </c>
      <c r="C698" t="s">
        <v>1415</v>
      </c>
    </row>
    <row r="699" spans="1:3" x14ac:dyDescent="0.35">
      <c r="A699" s="1" t="str">
        <f t="shared" si="10"/>
        <v>Costos anuales personal [$$$/año]</v>
      </c>
      <c r="B699" s="1" t="str">
        <f>_xlfn.CONCAT("Costs of personnel per year [",Info!C5,"/year]")</f>
        <v>Costs of personnel per year [$$$/year]</v>
      </c>
      <c r="C699" t="str">
        <f>_xlfn.CONCAT("Costos anuales personal [",Info!C5,"/año]")</f>
        <v>Costos anuales personal [$$$/año]</v>
      </c>
    </row>
    <row r="700" spans="1:3" x14ac:dyDescent="0.35">
      <c r="A700" s="1" t="str">
        <f t="shared" si="10"/>
        <v>Costos anuales materiales [$$$/año]</v>
      </c>
      <c r="B700" s="1" t="str">
        <f>_xlfn.CONCAT("Costs of materials per year [",Info!C5,"/year]")</f>
        <v>Costs of materials per year [$$$/year]</v>
      </c>
      <c r="C700" t="str">
        <f>_xlfn.CONCAT("Costos anuales materiales [",Info!C5,"/año]")</f>
        <v>Costos anuales materiales [$$$/año]</v>
      </c>
    </row>
    <row r="701" spans="1:3" x14ac:dyDescent="0.35">
      <c r="A701" s="1" t="str">
        <f t="shared" si="10"/>
        <v>Costos anuales de basureros [$$$/año]</v>
      </c>
      <c r="B701" s="1" t="str">
        <f>_xlfn.CONCAT("Costs of dustbins per year [",Info!C5,"/year]")</f>
        <v>Costs of dustbins per year [$$$/year]</v>
      </c>
      <c r="C701" t="str">
        <f>_xlfn.CONCAT("Costos anuales de basureros [",Info!C5,"/año]")</f>
        <v>Costos anuales de basureros [$$$/año]</v>
      </c>
    </row>
    <row r="702" spans="1:3" x14ac:dyDescent="0.35">
      <c r="A702" s="1" t="str">
        <f t="shared" si="10"/>
        <v>Costo anual del servicio [$$$/año]</v>
      </c>
      <c r="B702" s="1" t="str">
        <f>_xlfn.CONCAT("Total costs for sweeping per year [",Info!C5,"/year]")</f>
        <v>Total costs for sweeping per year [$$$/year]</v>
      </c>
      <c r="C702" t="str">
        <f>_xlfn.CONCAT("Costo anual del servicio [",Info!C5,"/año]")</f>
        <v>Costo anual del servicio [$$$/año]</v>
      </c>
    </row>
    <row r="703" spans="1:3" x14ac:dyDescent="0.35">
      <c r="A703" s="1" t="str">
        <f t="shared" si="10"/>
        <v>RESUMEN de costos</v>
      </c>
      <c r="B703" s="1" t="s">
        <v>1286</v>
      </c>
      <c r="C703" t="s">
        <v>79</v>
      </c>
    </row>
    <row r="704" spans="1:3" x14ac:dyDescent="0.35">
      <c r="A704" s="1" t="str">
        <f t="shared" si="10"/>
        <v>Costo de barrido/limpieza urbana [$$$/año]</v>
      </c>
      <c r="B704" s="1" t="str">
        <f>_xlfn.CONCAT("Costs of street sweeping [",Info!C5,"/year]")</f>
        <v>Costs of street sweeping [$$$/year]</v>
      </c>
      <c r="C704" t="str">
        <f>_xlfn.CONCAT("Costo de barrido/limpieza urbana [",Info!C5,"/año]")</f>
        <v>Costo de barrido/limpieza urbana [$$$/año]</v>
      </c>
    </row>
    <row r="705" spans="1:3" x14ac:dyDescent="0.35">
      <c r="A705" s="1" t="str">
        <f t="shared" si="10"/>
        <v>Costo de recolección primaria [$$$/año]</v>
      </c>
      <c r="B705" s="1" t="str">
        <f>_xlfn.CONCAT("Costs of primary collection [",Info!C5,"/year]")</f>
        <v>Costs of primary collection [$$$/year]</v>
      </c>
      <c r="C705" t="str">
        <f>_xlfn.CONCAT("Costo de recolección primaria [",Info!C5,"/año]")</f>
        <v>Costo de recolección primaria [$$$/año]</v>
      </c>
    </row>
    <row r="706" spans="1:3" x14ac:dyDescent="0.35">
      <c r="A706" s="1" t="str">
        <f t="shared" ref="A706:A769" si="11">HLOOKUP($A$1,B:K,ROW(A706),0)</f>
        <v>Costo de camiones recolectores [$$$/año]</v>
      </c>
      <c r="B706" s="1" t="str">
        <f>_xlfn.CONCAT("Costs of collection vehicles [",Info!C5,"/year]")</f>
        <v>Costs of collection vehicles [$$$/year]</v>
      </c>
      <c r="C706" t="str">
        <f>_xlfn.CONCAT("Costo de camiones recolectores [",Info!C5,"/año]")</f>
        <v>Costo de camiones recolectores [$$$/año]</v>
      </c>
    </row>
    <row r="707" spans="1:3" x14ac:dyDescent="0.35">
      <c r="A707" s="1" t="str">
        <f t="shared" si="11"/>
        <v>Costo de camiones de transferencia [$$$/año]</v>
      </c>
      <c r="B707" s="1" t="str">
        <f>_xlfn.CONCAT("Costs of transfer vehicles [",Info!C5,"/year]")</f>
        <v>Costs of transfer vehicles [$$$/year]</v>
      </c>
      <c r="C707" t="str">
        <f>_xlfn.CONCAT("Costo de camiones de transferencia [",Info!C5,"/año]")</f>
        <v>Costo de camiones de transferencia [$$$/año]</v>
      </c>
    </row>
    <row r="708" spans="1:3" x14ac:dyDescent="0.35">
      <c r="A708" s="1" t="str">
        <f t="shared" si="11"/>
        <v>Costo de estación de transferencia [$$$/año]</v>
      </c>
      <c r="B708" s="1" t="str">
        <f>_xlfn.CONCAT("Costs of transfer station [",Info!C5,"/year]")</f>
        <v>Costs of transfer station [$$$/year]</v>
      </c>
      <c r="C708" t="str">
        <f>_xlfn.CONCAT("Costo de estación de transferencia [",Info!C5,"/año]")</f>
        <v>Costo de estación de transferencia [$$$/año]</v>
      </c>
    </row>
    <row r="709" spans="1:3" x14ac:dyDescent="0.35">
      <c r="A709" s="1" t="str">
        <f t="shared" si="11"/>
        <v>Costo de seguros de vehículos [$$$/año]</v>
      </c>
      <c r="B709" s="1" t="str">
        <f>_xlfn.CONCAT("Costs of insurance for vehicles [",Info!C5,"/year]")</f>
        <v>Costs of insurance for vehicles [$$$/year]</v>
      </c>
      <c r="C709" t="str">
        <f>_xlfn.CONCAT("Costo de seguros de vehículos [",Info!C5,"/año]")</f>
        <v>Costo de seguros de vehículos [$$$/año]</v>
      </c>
    </row>
    <row r="710" spans="1:3" x14ac:dyDescent="0.35">
      <c r="A710" s="1" t="str">
        <f t="shared" si="11"/>
        <v>Costo de mantenimiento de vehículos [$$$/año]</v>
      </c>
      <c r="B710" s="1" t="str">
        <f>_xlfn.CONCAT("Costs of maintenance for vehicles [",Info!C5,"/year]")</f>
        <v>Costs of maintenance for vehicles [$$$/year]</v>
      </c>
      <c r="C710" t="str">
        <f>_xlfn.CONCAT("Costo de mantenimiento de vehículos [",Info!C5,"/año]")</f>
        <v>Costo de mantenimiento de vehículos [$$$/año]</v>
      </c>
    </row>
    <row r="711" spans="1:3" x14ac:dyDescent="0.35">
      <c r="A711" s="1" t="str">
        <f t="shared" si="11"/>
        <v>Costo de gasolina/diésel para vehículos [$$$/año]</v>
      </c>
      <c r="B711" s="1" t="str">
        <f>_xlfn.CONCAT("Costs of fuel for vehicles [",Info!C5,"/year]")</f>
        <v>Costs of fuel for vehicles [$$$/year]</v>
      </c>
      <c r="C711" t="str">
        <f>_xlfn.CONCAT("Costo de gasolina/diésel para vehículos [",Info!C5,"/año]")</f>
        <v>Costo de gasolina/diésel para vehículos [$$$/año]</v>
      </c>
    </row>
    <row r="712" spans="1:3" x14ac:dyDescent="0.35">
      <c r="A712" s="1" t="str">
        <f t="shared" si="11"/>
        <v>Costo de contenedores [$$$/año]</v>
      </c>
      <c r="B712" s="1" t="str">
        <f>_xlfn.CONCAT("Costs of containers [",Info!C5,"/year]")</f>
        <v>Costs of containers [$$$/year]</v>
      </c>
      <c r="C712" t="str">
        <f>_xlfn.CONCAT("Costo de contenedores [",Info!C5,"/año]")</f>
        <v>Costo de contenedores [$$$/año]</v>
      </c>
    </row>
    <row r="713" spans="1:3" x14ac:dyDescent="0.35">
      <c r="A713" s="1" t="str">
        <f t="shared" si="11"/>
        <v>Costos de personal de transferencia [$$$/año]</v>
      </c>
      <c r="B713" s="1" t="str">
        <f>_xlfn.CONCAT("Costs of transfer personnel [",Info!C5,"/year]")</f>
        <v>Costs of transfer personnel [$$$/year]</v>
      </c>
      <c r="C713" t="str">
        <f>_xlfn.CONCAT("Costos de personal de transferencia [",Info!C5,"/año]")</f>
        <v>Costos de personal de transferencia [$$$/año]</v>
      </c>
    </row>
    <row r="714" spans="1:3" x14ac:dyDescent="0.35">
      <c r="A714" s="1" t="str">
        <f t="shared" si="11"/>
        <v>Costos de personal de recolección [$$$/año]</v>
      </c>
      <c r="B714" s="1" t="str">
        <f>_xlfn.CONCAT("Costs of collection personnel [",Info!C5,"/year]")</f>
        <v>Costs of collection personnel [$$$/year]</v>
      </c>
      <c r="C714" t="str">
        <f>_xlfn.CONCAT("Costos de personal de recolección [",Info!C5,"/año]")</f>
        <v>Costos de personal de recolección [$$$/año]</v>
      </c>
    </row>
    <row r="715" spans="1:3" x14ac:dyDescent="0.35">
      <c r="A715" s="1" t="str">
        <f t="shared" si="11"/>
        <v>Costos de disposición final [$$$/año]</v>
      </c>
      <c r="B715" s="1" t="str">
        <f>_xlfn.CONCAT("Costs of final disposal [",Info!C5,"/year]")</f>
        <v>Costs of final disposal [$$$/year]</v>
      </c>
      <c r="C715" t="str">
        <f>_xlfn.CONCAT("Costos de disposición final [",Info!C5,"/año]")</f>
        <v>Costos de disposición final [$$$/año]</v>
      </c>
    </row>
    <row r="716" spans="1:3" x14ac:dyDescent="0.35">
      <c r="A716" s="1" t="str">
        <f t="shared" si="11"/>
        <v>Costos de compostaje [$$$/año]</v>
      </c>
      <c r="B716" s="1" t="str">
        <f>_xlfn.CONCAT("Costs of composting [",Info!C5,"/year]")</f>
        <v>Costs of composting [$$$/year]</v>
      </c>
      <c r="C716" t="str">
        <f>_xlfn.CONCAT("Costos de compostaje [",Info!C5,"/año]")</f>
        <v>Costos de compostaje [$$$/año]</v>
      </c>
    </row>
    <row r="717" spans="1:3" x14ac:dyDescent="0.35">
      <c r="A717" s="1" t="str">
        <f t="shared" si="11"/>
        <v>Costos de gestión de reciclables [$$$/año]</v>
      </c>
      <c r="B717" s="1" t="str">
        <f>_xlfn.CONCAT("Costs of recycling [",Info!C5,"/year]")</f>
        <v>Costs of recycling [$$$/year]</v>
      </c>
      <c r="C717" t="str">
        <f>_xlfn.CONCAT("Costos de gestión de reciclables [",Info!C5,"/año]")</f>
        <v>Costos de gestión de reciclables [$$$/año]</v>
      </c>
    </row>
    <row r="718" spans="1:3" x14ac:dyDescent="0.35">
      <c r="A718" s="1" t="str">
        <f t="shared" si="11"/>
        <v>Costos blandos (formación, educación y comunicación) [$$$/año]</v>
      </c>
      <c r="B718" s="1" t="str">
        <f>CONCATENATE("Costs of training, education and communication [",Info!C5,"/year]")</f>
        <v>Costs of training, education and communication [$$$/year]</v>
      </c>
      <c r="C718" t="str">
        <f>_xlfn.CONCAT("Costos blandos (formación, educación y comunicación) [",Info!C5,"/año]")</f>
        <v>Costos blandos (formación, educación y comunicación) [$$$/año]</v>
      </c>
    </row>
    <row r="719" spans="1:3" x14ac:dyDescent="0.35">
      <c r="A719" s="1" t="str">
        <f t="shared" si="11"/>
        <v>Estimación de costos de planificación y fiscalización [$$$/año]</v>
      </c>
      <c r="B719" s="1" t="str">
        <f>_xlfn.CONCAT("Costs of planning and monitoring [",Info!C5,"/year]")</f>
        <v>Costs of planning and monitoring [$$$/year]</v>
      </c>
      <c r="C719" t="str">
        <f>_xlfn.CONCAT("Estimación de costos de planificación y fiscalización [",Info!C5,"/año]")</f>
        <v>Estimación de costos de planificación y fiscalización [$$$/año]</v>
      </c>
    </row>
    <row r="720" spans="1:3" x14ac:dyDescent="0.35">
      <c r="A720" s="1" t="str">
        <f t="shared" si="11"/>
        <v>Costos administrativos [$$$/año]</v>
      </c>
      <c r="B720" s="1" t="str">
        <f>_xlfn.CONCAT("Costs of administration [",Info!C5,"/year]")</f>
        <v>Costs of administration [$$$/year]</v>
      </c>
      <c r="C720" t="str">
        <f>_xlfn.CONCAT("Costos administrativos [",Info!C5,"/año]")</f>
        <v>Costos administrativos [$$$/año]</v>
      </c>
    </row>
    <row r="721" spans="1:3" x14ac:dyDescent="0.35">
      <c r="A721" s="1" t="str">
        <f t="shared" si="11"/>
        <v>Costo anual total [$$$/año]</v>
      </c>
      <c r="B721" s="1" t="str">
        <f>_xlfn.CONCAT("Total costs of the service [",Info!C5,"/year]")</f>
        <v>Total costs of the service [$$$/year]</v>
      </c>
      <c r="C721" t="str">
        <f>_xlfn.CONCAT("Costo anual total [",Info!C5,"/año]")</f>
        <v>Costo anual total [$$$/año]</v>
      </c>
    </row>
    <row r="722" spans="1:3" x14ac:dyDescent="0.35">
      <c r="A722" s="1" t="str">
        <f t="shared" si="11"/>
        <v>RESUMEN DATOS CLAVES</v>
      </c>
      <c r="B722" s="1" t="s">
        <v>1287</v>
      </c>
      <c r="C722" t="s">
        <v>80</v>
      </c>
    </row>
    <row r="723" spans="1:3" x14ac:dyDescent="0.35">
      <c r="A723" s="1" t="str">
        <f t="shared" si="11"/>
        <v>Costo anual total [$$$/año]</v>
      </c>
      <c r="B723" s="1" t="str">
        <f>_xlfn.CONCAT("Total costs of the service [",Info!C5,"/year]")</f>
        <v>Total costs of the service [$$$/year]</v>
      </c>
      <c r="C723" t="str">
        <f>_xlfn.CONCAT("Costo anual total [",Info!C5,"/año]")</f>
        <v>Costo anual total [$$$/año]</v>
      </c>
    </row>
    <row r="724" spans="1:3" x14ac:dyDescent="0.35">
      <c r="A724" s="1" t="str">
        <f t="shared" si="11"/>
        <v>Toneladas anuales depositadas en sitio de disposición final [ton/año]</v>
      </c>
      <c r="B724" s="1" t="s">
        <v>1288</v>
      </c>
      <c r="C724" t="s">
        <v>81</v>
      </c>
    </row>
    <row r="725" spans="1:3" x14ac:dyDescent="0.35">
      <c r="A725" s="1" t="str">
        <f t="shared" si="11"/>
        <v>Toneladas anuales de residuos orgánicos gestionados de forma diferenciada [ton/año]</v>
      </c>
      <c r="B725" s="1" t="s">
        <v>1289</v>
      </c>
      <c r="C725" t="s">
        <v>82</v>
      </c>
    </row>
    <row r="726" spans="1:3" x14ac:dyDescent="0.35">
      <c r="A726" s="1" t="str">
        <f t="shared" si="11"/>
        <v>Toneladas anuales de reciclables gestionados de forma diferenciada [ton/año]</v>
      </c>
      <c r="B726" s="1" t="s">
        <v>1290</v>
      </c>
      <c r="C726" t="s">
        <v>83</v>
      </c>
    </row>
    <row r="727" spans="1:3" x14ac:dyDescent="0.35">
      <c r="A727" s="1" t="str">
        <f t="shared" si="11"/>
        <v>Consumo de combustible [L/año]</v>
      </c>
      <c r="B727" s="1" t="s">
        <v>1291</v>
      </c>
      <c r="C727" t="s">
        <v>85</v>
      </c>
    </row>
    <row r="728" spans="1:3" x14ac:dyDescent="0.35">
      <c r="A728" s="1" t="str">
        <f t="shared" si="11"/>
        <v>Distribución costos recolección y transporte (recolección segundaria)</v>
      </c>
      <c r="B728" s="1" t="s">
        <v>1292</v>
      </c>
      <c r="C728" t="s">
        <v>354</v>
      </c>
    </row>
    <row r="729" spans="1:3" x14ac:dyDescent="0.35">
      <c r="A729" s="1" t="str">
        <f t="shared" si="11"/>
        <v>Recolección</v>
      </c>
      <c r="B729" s="1" t="s">
        <v>1293</v>
      </c>
      <c r="C729" t="s">
        <v>18</v>
      </c>
    </row>
    <row r="730" spans="1:3" x14ac:dyDescent="0.35">
      <c r="A730" s="1" t="str">
        <f t="shared" si="11"/>
        <v>Personal</v>
      </c>
      <c r="B730" s="1" t="s">
        <v>796</v>
      </c>
      <c r="C730" t="s">
        <v>14</v>
      </c>
    </row>
    <row r="731" spans="1:3" x14ac:dyDescent="0.35">
      <c r="A731" s="1" t="str">
        <f t="shared" si="11"/>
        <v>Camiones</v>
      </c>
      <c r="B731" s="1" t="s">
        <v>806</v>
      </c>
      <c r="C731" t="s">
        <v>317</v>
      </c>
    </row>
    <row r="732" spans="1:3" x14ac:dyDescent="0.35">
      <c r="A732" s="1" t="str">
        <f t="shared" si="11"/>
        <v>Mantenimiento vehículos</v>
      </c>
      <c r="B732" s="1" t="s">
        <v>1295</v>
      </c>
      <c r="C732" t="s">
        <v>1595</v>
      </c>
    </row>
    <row r="733" spans="1:3" x14ac:dyDescent="0.35">
      <c r="A733" s="1" t="str">
        <f t="shared" si="11"/>
        <v>Seguro de vehículos</v>
      </c>
      <c r="B733" s="1" t="s">
        <v>1294</v>
      </c>
      <c r="C733" t="s">
        <v>1596</v>
      </c>
    </row>
    <row r="734" spans="1:3" x14ac:dyDescent="0.35">
      <c r="A734" s="1" t="str">
        <f t="shared" si="11"/>
        <v>Combustible</v>
      </c>
      <c r="B734" s="1" t="s">
        <v>1296</v>
      </c>
      <c r="C734" t="s">
        <v>318</v>
      </c>
    </row>
    <row r="735" spans="1:3" x14ac:dyDescent="0.35">
      <c r="A735" s="1" t="str">
        <f t="shared" si="11"/>
        <v>Total recolección</v>
      </c>
      <c r="B735" s="1" t="s">
        <v>1297</v>
      </c>
      <c r="C735" t="s">
        <v>319</v>
      </c>
    </row>
    <row r="736" spans="1:3" x14ac:dyDescent="0.35">
      <c r="A736" s="1" t="str">
        <f t="shared" si="11"/>
        <v>Transporte</v>
      </c>
      <c r="B736" s="1" t="s">
        <v>1299</v>
      </c>
      <c r="C736" t="s">
        <v>309</v>
      </c>
    </row>
    <row r="737" spans="1:3" x14ac:dyDescent="0.35">
      <c r="A737" s="1" t="str">
        <f t="shared" si="11"/>
        <v>Personal</v>
      </c>
      <c r="B737" s="1" t="s">
        <v>796</v>
      </c>
      <c r="C737" t="s">
        <v>14</v>
      </c>
    </row>
    <row r="738" spans="1:3" x14ac:dyDescent="0.35">
      <c r="A738" s="1" t="str">
        <f t="shared" si="11"/>
        <v>Camiones</v>
      </c>
      <c r="B738" s="1" t="s">
        <v>806</v>
      </c>
      <c r="C738" t="s">
        <v>317</v>
      </c>
    </row>
    <row r="739" spans="1:3" x14ac:dyDescent="0.35">
      <c r="A739" s="1" t="str">
        <f t="shared" si="11"/>
        <v>Mantenimiento vehículos</v>
      </c>
      <c r="B739" s="1" t="s">
        <v>1295</v>
      </c>
      <c r="C739" t="s">
        <v>1595</v>
      </c>
    </row>
    <row r="740" spans="1:3" x14ac:dyDescent="0.35">
      <c r="A740" s="1" t="str">
        <f t="shared" si="11"/>
        <v>Seguro de vehículos</v>
      </c>
      <c r="B740" s="1" t="s">
        <v>1294</v>
      </c>
      <c r="C740" t="s">
        <v>1596</v>
      </c>
    </row>
    <row r="741" spans="1:3" x14ac:dyDescent="0.35">
      <c r="A741" s="1" t="str">
        <f t="shared" si="11"/>
        <v>Combustible</v>
      </c>
      <c r="B741" s="1" t="s">
        <v>1296</v>
      </c>
      <c r="C741" t="s">
        <v>318</v>
      </c>
    </row>
    <row r="742" spans="1:3" x14ac:dyDescent="0.35">
      <c r="A742" s="1" t="str">
        <f t="shared" si="11"/>
        <v>Estación de transferencia</v>
      </c>
      <c r="B742" s="1" t="s">
        <v>1298</v>
      </c>
      <c r="C742" t="s">
        <v>150</v>
      </c>
    </row>
    <row r="743" spans="1:3" x14ac:dyDescent="0.35">
      <c r="A743" s="1" t="str">
        <f t="shared" si="11"/>
        <v>Total transporte</v>
      </c>
      <c r="B743" s="1" t="s">
        <v>1300</v>
      </c>
      <c r="C743" t="s">
        <v>320</v>
      </c>
    </row>
    <row r="744" spans="1:3" x14ac:dyDescent="0.35">
      <c r="A744" s="1" t="str">
        <f t="shared" si="11"/>
        <v>Resumen de costos</v>
      </c>
      <c r="B744" s="1" t="s">
        <v>1301</v>
      </c>
      <c r="C744" t="s">
        <v>614</v>
      </c>
    </row>
    <row r="745" spans="1:3" x14ac:dyDescent="0.35">
      <c r="A745" s="1" t="str">
        <f t="shared" si="11"/>
        <v>Costo de barrido/limpieza urbana [$$$/año]</v>
      </c>
      <c r="B745" s="289" t="str">
        <f>_xlfn.CONCAT("Street sweeping costs [",Info!C5,"/year]")</f>
        <v>Street sweeping costs [$$$/year]</v>
      </c>
      <c r="C745" t="str">
        <f>_xlfn.CONCAT("Costo de barrido/limpieza urbana [",Info!C5,"/año]")</f>
        <v>Costo de barrido/limpieza urbana [$$$/año]</v>
      </c>
    </row>
    <row r="746" spans="1:3" x14ac:dyDescent="0.35">
      <c r="A746" s="1" t="str">
        <f t="shared" si="11"/>
        <v>Costo de recolección primaria [$$$/año]</v>
      </c>
      <c r="B746" s="1" t="str">
        <f>_xlfn.CONCAT("Primary collection costs [",Info!C5,"/year]")</f>
        <v>Primary collection costs [$$$/year]</v>
      </c>
      <c r="C746" t="str">
        <f>_xlfn.CONCAT("Costo de recolección primaria [",Info!C5,"/año]")</f>
        <v>Costo de recolección primaria [$$$/año]</v>
      </c>
    </row>
    <row r="747" spans="1:3" x14ac:dyDescent="0.35">
      <c r="A747" s="1" t="str">
        <f t="shared" si="11"/>
        <v>Costo de camiones recolectores [$$$/año]</v>
      </c>
      <c r="B747" s="1" t="str">
        <f>_xlfn.CONCAT("Collection vehicles costs [",Info!C5,"/year]")</f>
        <v>Collection vehicles costs [$$$/year]</v>
      </c>
      <c r="C747" t="str">
        <f>_xlfn.CONCAT("Costo de camiones recolectores [",Info!C5,"/año]")</f>
        <v>Costo de camiones recolectores [$$$/año]</v>
      </c>
    </row>
    <row r="748" spans="1:3" x14ac:dyDescent="0.35">
      <c r="A748" s="1" t="str">
        <f t="shared" si="11"/>
        <v>Amortización de camiones de transferencia [$$$/año]</v>
      </c>
      <c r="B748" s="1" t="str">
        <f>_xlfn.CONCAT("Transfer vehicle costs [",Info!C5,"/year]")</f>
        <v>Transfer vehicle costs [$$$/year]</v>
      </c>
      <c r="C748" t="str">
        <f>_xlfn.CONCAT("Amortización de camiones de transferencia [",Info!C5,"/año]")</f>
        <v>Amortización de camiones de transferencia [$$$/año]</v>
      </c>
    </row>
    <row r="749" spans="1:3" x14ac:dyDescent="0.35">
      <c r="A749" s="1" t="str">
        <f t="shared" si="11"/>
        <v>Amortización de estación de transferencia [$$$/año]</v>
      </c>
      <c r="B749" s="1" t="str">
        <f>_xlfn.CONCAT("Transfer station costs [",Info!C5,"/year]")</f>
        <v>Transfer station costs [$$$/year]</v>
      </c>
      <c r="C749" t="str">
        <f>_xlfn.CONCAT("Amortización de estación de transferencia [",Info!C5,"/año]")</f>
        <v>Amortización de estación de transferencia [$$$/año]</v>
      </c>
    </row>
    <row r="750" spans="1:3" x14ac:dyDescent="0.35">
      <c r="A750" s="1" t="str">
        <f t="shared" si="11"/>
        <v>Costo de seguros de vehículos [B$$$/año]</v>
      </c>
      <c r="B750" s="1" t="str">
        <f>CONCATENATE("Vehicles insurance costs [",Info!C5,"/year]")</f>
        <v>Vehicles insurance costs [$$$/year]</v>
      </c>
      <c r="C750" t="str">
        <f>_xlfn.CONCAT("Costo de seguros de vehículos [B",Info!C5,"/año]")</f>
        <v>Costo de seguros de vehículos [B$$$/año]</v>
      </c>
    </row>
    <row r="751" spans="1:3" x14ac:dyDescent="0.35">
      <c r="A751" s="1" t="str">
        <f t="shared" si="11"/>
        <v>Costo de mantenimiento de vehículos [$$$/año]</v>
      </c>
      <c r="B751" s="1" t="str">
        <f>_xlfn.CONCAT("Vehicles maintenance costs [",Info!C5,"/year]")</f>
        <v>Vehicles maintenance costs [$$$/year]</v>
      </c>
      <c r="C751" t="str">
        <f>_xlfn.CONCAT("Costo de mantenimiento de vehículos [",Info!C5,"/año]")</f>
        <v>Costo de mantenimiento de vehículos [$$$/año]</v>
      </c>
    </row>
    <row r="752" spans="1:3" x14ac:dyDescent="0.35">
      <c r="A752" s="1" t="str">
        <f t="shared" si="11"/>
        <v>Costo de gasolina para vehículos [$$$/año]</v>
      </c>
      <c r="B752" s="1" t="str">
        <f>_xlfn.CONCAT("Fuel costs [",Info!C5,"/year]")</f>
        <v>Fuel costs [$$$/year]</v>
      </c>
      <c r="C752" t="str">
        <f>_xlfn.CONCAT("Costo de gasolina para vehículos [",Info!C5,"/año]")</f>
        <v>Costo de gasolina para vehículos [$$$/año]</v>
      </c>
    </row>
    <row r="753" spans="1:3" x14ac:dyDescent="0.35">
      <c r="A753" s="1" t="str">
        <f t="shared" si="11"/>
        <v>Amortización de contenedores [$$$/año]</v>
      </c>
      <c r="B753" s="1" t="str">
        <f>_xlfn.CONCAT("Containers costs [",Info!C5,"/year]")</f>
        <v>Containers costs [$$$/year]</v>
      </c>
      <c r="C753" t="str">
        <f>_xlfn.CONCAT("Amortización de contenedores [",Info!C5,"/año]")</f>
        <v>Amortización de contenedores [$$$/año]</v>
      </c>
    </row>
    <row r="754" spans="1:3" x14ac:dyDescent="0.35">
      <c r="A754" s="1" t="str">
        <f t="shared" si="11"/>
        <v>Costos de personal de transferencia [$$$/año]</v>
      </c>
      <c r="B754" s="1" t="str">
        <f>_xlfn.CONCAT("Transfer personnel costs [",Info!C5,"/year]")</f>
        <v>Transfer personnel costs [$$$/year]</v>
      </c>
      <c r="C754" t="str">
        <f>_xlfn.CONCAT("Costos de personal de transferencia [",Info!C5,"/año]")</f>
        <v>Costos de personal de transferencia [$$$/año]</v>
      </c>
    </row>
    <row r="755" spans="1:3" x14ac:dyDescent="0.35">
      <c r="A755" s="1" t="str">
        <f t="shared" si="11"/>
        <v>Costos de personal de recolección [$$$/año]</v>
      </c>
      <c r="B755" s="1" t="str">
        <f>_xlfn.CONCAT("Collection personnel costs [",Info!C5,"/year]")</f>
        <v>Collection personnel costs [$$$/year]</v>
      </c>
      <c r="C755" t="str">
        <f>_xlfn.CONCAT("Costos de personal de recolección [",Info!C5,"/año]")</f>
        <v>Costos de personal de recolección [$$$/año]</v>
      </c>
    </row>
    <row r="756" spans="1:3" x14ac:dyDescent="0.35">
      <c r="A756" s="1" t="str">
        <f t="shared" si="11"/>
        <v>Costos de disposición final [$$$/año]</v>
      </c>
      <c r="B756" s="1" t="str">
        <f>_xlfn.CONCAT("Final disposal costs [",Info!C5,"/year]")</f>
        <v>Final disposal costs [$$$/year]</v>
      </c>
      <c r="C756" t="str">
        <f>_xlfn.CONCAT("Costos de disposición final [",Info!C5,"/año]")</f>
        <v>Costos de disposición final [$$$/año]</v>
      </c>
    </row>
    <row r="757" spans="1:3" x14ac:dyDescent="0.35">
      <c r="A757" s="1" t="str">
        <f t="shared" si="11"/>
        <v>Costos de compostaje [$$$/año]</v>
      </c>
      <c r="B757" s="1" t="str">
        <f>_xlfn.CONCAT("Composting costs [",Info!C5,"/year]")</f>
        <v>Composting costs [$$$/year]</v>
      </c>
      <c r="C757" t="str">
        <f>_xlfn.CONCAT("Costos de compostaje [",Info!C5,"/año]")</f>
        <v>Costos de compostaje [$$$/año]</v>
      </c>
    </row>
    <row r="758" spans="1:3" x14ac:dyDescent="0.35">
      <c r="A758" s="1" t="str">
        <f t="shared" si="11"/>
        <v>Costos de gestión de reciclables [$$$/año]</v>
      </c>
      <c r="B758" s="1" t="str">
        <f>_xlfn.CONCAT("Recyclables management costs [",Info!C5,"/year]")</f>
        <v>Recyclables management costs [$$$/year]</v>
      </c>
      <c r="C758" t="str">
        <f>_xlfn.CONCAT("Costos de gestión de reciclables [",Info!C5,"/año]")</f>
        <v>Costos de gestión de reciclables [$$$/año]</v>
      </c>
    </row>
    <row r="759" spans="1:3" x14ac:dyDescent="0.35">
      <c r="A759" s="1" t="str">
        <f t="shared" si="11"/>
        <v>Costos blandos (formación, educación y comunicación) [$$$/año]</v>
      </c>
      <c r="B759" s="1" t="str">
        <f>CONCATENATE("Training, education and communication costs [",Info!C5,"/year]")</f>
        <v>Training, education and communication costs [$$$/year]</v>
      </c>
      <c r="C759" t="str">
        <f>_xlfn.CONCAT("Costos blandos (formación, educación y comunicación) [",Info!C5,"/año]")</f>
        <v>Costos blandos (formación, educación y comunicación) [$$$/año]</v>
      </c>
    </row>
    <row r="760" spans="1:3" x14ac:dyDescent="0.35">
      <c r="A760" s="1" t="str">
        <f t="shared" si="11"/>
        <v>Estimación de costos de planificación y fiscalización [$$$/año]</v>
      </c>
      <c r="B760" s="1" t="str">
        <f>_xlfn.CONCAT("Planning and control costs [",Info!C5,"/year]")</f>
        <v>Planning and control costs [$$$/year]</v>
      </c>
      <c r="C760" t="str">
        <f>_xlfn.CONCAT("Estimación de costos de planificación y fiscalización [",Info!C5,"/año]")</f>
        <v>Estimación de costos de planificación y fiscalización [$$$/año]</v>
      </c>
    </row>
    <row r="761" spans="1:3" x14ac:dyDescent="0.35">
      <c r="A761" s="1" t="str">
        <f t="shared" si="11"/>
        <v>Costos administrativos [$$$/año]</v>
      </c>
      <c r="B761" s="1" t="str">
        <f>_xlfn.CONCAT("Administrative costs [",Info!C5,"/year]")</f>
        <v>Administrative costs [$$$/year]</v>
      </c>
      <c r="C761" t="str">
        <f>_xlfn.CONCAT("Costos administrativos [",Info!C5,"/año]")</f>
        <v>Costos administrativos [$$$/año]</v>
      </c>
    </row>
    <row r="762" spans="1:3" x14ac:dyDescent="0.35">
      <c r="A762" s="1" t="str">
        <f t="shared" si="11"/>
        <v>Costo anual total [$$$/año]</v>
      </c>
      <c r="B762" s="1" t="str">
        <f>_xlfn.CONCAT("Total yearly costs [",Info!C5,"/year]")</f>
        <v>Total yearly costs [$$$/year]</v>
      </c>
      <c r="C762" t="str">
        <f>_xlfn.CONCAT("Costo anual total [",Info!C5,"/año]")</f>
        <v>Costo anual total [$$$/año]</v>
      </c>
    </row>
    <row r="763" spans="1:3" x14ac:dyDescent="0.35">
      <c r="A763" s="1" t="str">
        <f t="shared" si="11"/>
        <v>Servicio de barrido/limpieza urbana</v>
      </c>
      <c r="B763" s="1" t="str">
        <f>_xlfn.CONCAT("Street sweeping costs [",Info!C5,"/year]")</f>
        <v>Street sweeping costs [$$$/year]</v>
      </c>
      <c r="C763" t="s">
        <v>1416</v>
      </c>
    </row>
    <row r="764" spans="1:3" x14ac:dyDescent="0.35">
      <c r="A764" s="1" t="str">
        <f t="shared" si="11"/>
        <v>Servicio de recolección y transporte</v>
      </c>
      <c r="B764" s="1" t="str">
        <f>_xlfn.CONCAT("Collection and transport costs [",Info!C5,"/year]")</f>
        <v>Collection and transport costs [$$$/year]</v>
      </c>
      <c r="C764" t="s">
        <v>533</v>
      </c>
    </row>
    <row r="765" spans="1:3" x14ac:dyDescent="0.35">
      <c r="A765" s="1" t="str">
        <f t="shared" si="11"/>
        <v xml:space="preserve">Planta de reciclaje </v>
      </c>
      <c r="B765" s="1" t="str">
        <f>_xlfn.CONCAT("Recycling facility costs [",Info!C5,"/year]")</f>
        <v>Recycling facility costs [$$$/year]</v>
      </c>
      <c r="C765" t="s">
        <v>666</v>
      </c>
    </row>
    <row r="766" spans="1:3" x14ac:dyDescent="0.35">
      <c r="A766" s="1" t="str">
        <f t="shared" si="11"/>
        <v>Planta de compostaje</v>
      </c>
      <c r="B766" s="1" t="str">
        <f>_xlfn.CONCAT("Composting facility costs [",Info!C5,"/year]")</f>
        <v>Composting facility costs [$$$/year]</v>
      </c>
      <c r="C766" t="s">
        <v>128</v>
      </c>
    </row>
    <row r="767" spans="1:3" x14ac:dyDescent="0.35">
      <c r="A767" s="1" t="str">
        <f t="shared" si="11"/>
        <v>Estación de transferencia</v>
      </c>
      <c r="B767" s="1" t="str">
        <f>_xlfn.CONCAT("Transfer station costs [",Info!C5,"/year]")</f>
        <v>Transfer station costs [$$$/year]</v>
      </c>
      <c r="C767" t="s">
        <v>150</v>
      </c>
    </row>
    <row r="768" spans="1:3" x14ac:dyDescent="0.35">
      <c r="A768" s="1" t="str">
        <f t="shared" si="11"/>
        <v>Disposición final</v>
      </c>
      <c r="B768" s="1" t="str">
        <f>_xlfn.CONCAT("Final disposal costs [",Info!C5,"/year]")</f>
        <v>Final disposal costs [$$$/year]</v>
      </c>
      <c r="C768" t="s">
        <v>599</v>
      </c>
    </row>
    <row r="769" spans="1:3" x14ac:dyDescent="0.35">
      <c r="A769" s="1" t="str">
        <f t="shared" si="11"/>
        <v>Administración del servicio</v>
      </c>
      <c r="B769" s="1" t="str">
        <f>_xlfn.CONCAT("Administration costs [",Info!C5,"/year]")</f>
        <v>Administration costs [$$$/year]</v>
      </c>
      <c r="C769" t="s">
        <v>214</v>
      </c>
    </row>
    <row r="770" spans="1:3" x14ac:dyDescent="0.35">
      <c r="A770" s="1" t="str">
        <f t="shared" ref="A770:A833" si="12">HLOOKUP($A$1,B:K,ROW(A770),0)</f>
        <v>Planificación y fiscalización del servicio</v>
      </c>
      <c r="B770" s="1" t="str">
        <f>_xlfn.CONCAT("Planning and control costs [",Info!C5,"/year]")</f>
        <v>Planning and control costs [$$$/year]</v>
      </c>
      <c r="C770" t="s">
        <v>135</v>
      </c>
    </row>
    <row r="771" spans="1:3" x14ac:dyDescent="0.35">
      <c r="A771" s="1" t="str">
        <f t="shared" si="12"/>
        <v>Educación y comunicación</v>
      </c>
      <c r="B771" s="1" t="str">
        <f>_xlfn.CONCAT("Education and communication costs [",Info!C5,"/year]")</f>
        <v>Education and communication costs [$$$/year]</v>
      </c>
      <c r="C771" t="s">
        <v>136</v>
      </c>
    </row>
    <row r="772" spans="1:3" x14ac:dyDescent="0.35">
      <c r="A772" s="1" t="str">
        <f t="shared" si="12"/>
        <v>Costo anual total [$$$/año]</v>
      </c>
      <c r="B772" s="1" t="str">
        <f>_xlfn.CONCAT("Total yearly costs [",Info!C5,"/year]")</f>
        <v>Total yearly costs [$$$/year]</v>
      </c>
      <c r="C772" t="str">
        <f>_xlfn.CONCAT("Costo anual total [",Info!C5,"/año]")</f>
        <v>Costo anual total [$$$/año]</v>
      </c>
    </row>
    <row r="773" spans="1:3" x14ac:dyDescent="0.35">
      <c r="A773" s="1" t="str">
        <f t="shared" si="12"/>
        <v>Costos de servicio de barrido/limpieza urbana por tonelada [$$$/ton]</v>
      </c>
      <c r="B773" s="1" t="str">
        <f>_xlfn.CONCAT("Street sweeping costs per ton [",Info!C5,"/ton]")</f>
        <v>Street sweeping costs per ton [$$$/ton]</v>
      </c>
      <c r="C773" t="str">
        <f>_xlfn.CONCAT("Costos de servicio de barrido/limpieza urbana por tonelada [",Info!C5,"/ton]")</f>
        <v>Costos de servicio de barrido/limpieza urbana por tonelada [$$$/ton]</v>
      </c>
    </row>
    <row r="774" spans="1:3" x14ac:dyDescent="0.35">
      <c r="A774" s="1" t="str">
        <f t="shared" si="12"/>
        <v>Costo de recolección y transferencia por tonelada [$$$/ton]</v>
      </c>
      <c r="B774" s="1" t="str">
        <f>_xlfn.CONCAT("Collection and transport costs per ton [",Info!C5,"/ton]")</f>
        <v>Collection and transport costs per ton [$$$/ton]</v>
      </c>
      <c r="C774" t="str">
        <f>_xlfn.CONCAT("Costo de recolección y transferencia por tonelada [",Info!C5,"/ton]")</f>
        <v>Costo de recolección y transferencia por tonelada [$$$/ton]</v>
      </c>
    </row>
    <row r="775" spans="1:3" x14ac:dyDescent="0.35">
      <c r="A775" s="1" t="str">
        <f t="shared" si="12"/>
        <v>Costo total por tonelada recolectada [$$$/ton]</v>
      </c>
      <c r="B775" s="1" t="str">
        <f>_xlfn.CONCAT("Total cost per ton collected [",Info!C5,"/year]")</f>
        <v>Total cost per ton collected [$$$/year]</v>
      </c>
      <c r="C775" t="str">
        <f>_xlfn.CONCAT("Costo total por tonelada recolectada [",Info!C5,"/ton]")</f>
        <v>Costo total por tonelada recolectada [$$$/ton]</v>
      </c>
    </row>
    <row r="776" spans="1:3" x14ac:dyDescent="0.35">
      <c r="A776" s="1" t="str">
        <f t="shared" si="12"/>
        <v>Costo por usuario [$$$/hab*año]</v>
      </c>
      <c r="B776" s="1" t="str">
        <f>CONCATENATE("Cost per user per year [",Info!C5,"/hab*year]")</f>
        <v>Cost per user per year [$$$/hab*year]</v>
      </c>
      <c r="C776" t="str">
        <f>_xlfn.CONCAT("Costo por usuario [",Info!C5,"/hab*año]")</f>
        <v>Costo por usuario [$$$/hab*año]</v>
      </c>
    </row>
    <row r="777" spans="1:3" ht="43.5" x14ac:dyDescent="0.35">
      <c r="A777" s="1" t="str">
        <f t="shared" si="12"/>
        <v>Los valores en cursiva de color gris claro se han calculado sobre la base de un coste por tonelada o de un porcentaje de los costes totales - no se han modelizado y no deben utilizarse como punto de comparación con el caso real - sólo ofrecen una visión general de un coste total estimado</v>
      </c>
      <c r="B777" s="1" t="s">
        <v>1387</v>
      </c>
      <c r="C777" s="1" t="s">
        <v>1386</v>
      </c>
    </row>
    <row r="778" spans="1:3" x14ac:dyDescent="0.35">
      <c r="A778" s="1" t="str">
        <f t="shared" si="12"/>
        <v>Resultados de la modelización</v>
      </c>
      <c r="B778" s="1" t="s">
        <v>1391</v>
      </c>
      <c r="C778" s="1" t="s">
        <v>1390</v>
      </c>
    </row>
    <row r="779" spans="1:3" x14ac:dyDescent="0.35">
      <c r="A779" s="1" t="str">
        <f t="shared" si="12"/>
        <v>Caso real actual</v>
      </c>
      <c r="B779" s="1" t="s">
        <v>1302</v>
      </c>
      <c r="C779" t="s">
        <v>622</v>
      </c>
    </row>
    <row r="780" spans="1:3" x14ac:dyDescent="0.35">
      <c r="A780" s="1" t="str">
        <f t="shared" si="12"/>
        <v>Recolección por acera</v>
      </c>
      <c r="B780" s="1" t="s">
        <v>1303</v>
      </c>
      <c r="C780" t="s">
        <v>782</v>
      </c>
    </row>
    <row r="781" spans="1:3" x14ac:dyDescent="0.35">
      <c r="A781" s="1" t="str">
        <f t="shared" si="12"/>
        <v>Recolección por esquina</v>
      </c>
      <c r="B781" s="1" t="s">
        <v>1304</v>
      </c>
      <c r="C781" t="s">
        <v>783</v>
      </c>
    </row>
    <row r="782" spans="1:3" x14ac:dyDescent="0.35">
      <c r="A782" s="1" t="str">
        <f t="shared" si="12"/>
        <v>Recolección con contenedores</v>
      </c>
      <c r="B782" t="s">
        <v>1305</v>
      </c>
      <c r="C782" t="s">
        <v>545</v>
      </c>
    </row>
    <row r="783" spans="1:3" x14ac:dyDescent="0.35">
      <c r="A783" s="1" t="str">
        <f t="shared" si="12"/>
        <v>Recolección diferenciada con contenedores</v>
      </c>
      <c r="B783" t="s">
        <v>1308</v>
      </c>
      <c r="C783" t="s">
        <v>546</v>
      </c>
    </row>
    <row r="784" spans="1:3" x14ac:dyDescent="0.35">
      <c r="A784" s="1" t="str">
        <f t="shared" si="12"/>
        <v>Sin estación de transferencia</v>
      </c>
      <c r="B784" s="1" t="s">
        <v>1306</v>
      </c>
      <c r="C784" t="s">
        <v>299</v>
      </c>
    </row>
    <row r="785" spans="1:3" x14ac:dyDescent="0.35">
      <c r="A785" s="1" t="str">
        <f t="shared" si="12"/>
        <v>Con estación de transferencia</v>
      </c>
      <c r="B785" s="1" t="s">
        <v>1307</v>
      </c>
      <c r="C785" t="s">
        <v>298</v>
      </c>
    </row>
    <row r="786" spans="1:3" x14ac:dyDescent="0.35">
      <c r="A786" s="1" t="str">
        <f t="shared" si="12"/>
        <v>Indicadores de eficiencia</v>
      </c>
      <c r="B786" s="1" t="s">
        <v>879</v>
      </c>
      <c r="C786" t="s">
        <v>600</v>
      </c>
    </row>
    <row r="787" spans="1:3" x14ac:dyDescent="0.35">
      <c r="A787" s="1" t="str">
        <f t="shared" si="12"/>
        <v>Indicadores de eficiencia del servicio</v>
      </c>
      <c r="B787" s="1" t="s">
        <v>1322</v>
      </c>
      <c r="C787" t="s">
        <v>268</v>
      </c>
    </row>
    <row r="788" spans="1:3" x14ac:dyDescent="0.35">
      <c r="A788" s="1" t="str">
        <f t="shared" si="12"/>
        <v>Costo por tonelada recolectada [$$$/ton]</v>
      </c>
      <c r="B788" s="1" t="str">
        <f>_xlfn.CONCAT("Cost per ton collected [",Info!C5,"/ton]")</f>
        <v>Cost per ton collected [$$$/ton]</v>
      </c>
      <c r="C788" t="str">
        <f>_xlfn.CONCAT("Costo por tonelada recolectada [",Info!C5,"/ton]")</f>
        <v>Costo por tonelada recolectada [$$$/ton]</v>
      </c>
    </row>
    <row r="789" spans="1:3" x14ac:dyDescent="0.35">
      <c r="A789" s="1" t="str">
        <f t="shared" si="12"/>
        <v>Horas hombre por tonelada recolectada [h*persona/t]</v>
      </c>
      <c r="B789" s="1" t="s">
        <v>1323</v>
      </c>
      <c r="C789" t="s">
        <v>335</v>
      </c>
    </row>
    <row r="790" spans="1:3" x14ac:dyDescent="0.35">
      <c r="A790" s="1" t="str">
        <f t="shared" si="12"/>
        <v>Horas efectivas de recolección [h/día]</v>
      </c>
      <c r="B790" s="1" t="s">
        <v>1324</v>
      </c>
      <c r="C790" t="s">
        <v>375</v>
      </c>
    </row>
    <row r="791" spans="1:3" x14ac:dyDescent="0.35">
      <c r="A791" s="1" t="str">
        <f t="shared" si="12"/>
        <v>Tiempo efectivo de recolección [%]</v>
      </c>
      <c r="B791" s="1" t="s">
        <v>1325</v>
      </c>
      <c r="C791" t="s">
        <v>278</v>
      </c>
    </row>
    <row r="792" spans="1:3" x14ac:dyDescent="0.35">
      <c r="A792" s="1" t="str">
        <f t="shared" si="12"/>
        <v>Tiempo relativo de recolección versus transporte [%]</v>
      </c>
      <c r="B792" s="1" t="s">
        <v>1535</v>
      </c>
      <c r="C792" t="s">
        <v>334</v>
      </c>
    </row>
    <row r="793" spans="1:3" x14ac:dyDescent="0.35">
      <c r="A793" s="1" t="str">
        <f t="shared" si="12"/>
        <v>Tiempo para llenar camión al 100% [h]</v>
      </c>
      <c r="B793" s="1" t="s">
        <v>1326</v>
      </c>
      <c r="C793" t="s">
        <v>288</v>
      </c>
    </row>
    <row r="794" spans="1:3" x14ac:dyDescent="0.35">
      <c r="A794" s="1" t="str">
        <f t="shared" si="12"/>
        <v>Kilómetros recorridos por tonelada recolectada [km/ton]</v>
      </c>
      <c r="B794" s="1" t="s">
        <v>1536</v>
      </c>
      <c r="C794" t="s">
        <v>1679</v>
      </c>
    </row>
    <row r="795" spans="1:3" x14ac:dyDescent="0.35">
      <c r="A795" s="1" t="str">
        <f t="shared" si="12"/>
        <v>Total personal de recolección primaria</v>
      </c>
      <c r="B795" s="1" t="s">
        <v>1311</v>
      </c>
      <c r="C795" t="s">
        <v>668</v>
      </c>
    </row>
    <row r="796" spans="1:3" x14ac:dyDescent="0.35">
      <c r="A796" s="1" t="str">
        <f t="shared" si="12"/>
        <v>Total personal de recolección segundaria</v>
      </c>
      <c r="B796" s="1" t="s">
        <v>1312</v>
      </c>
      <c r="C796" t="s">
        <v>669</v>
      </c>
    </row>
    <row r="797" spans="1:3" x14ac:dyDescent="0.35">
      <c r="A797" s="1" t="str">
        <f t="shared" si="12"/>
        <v>Total personal de transferencia y transporte</v>
      </c>
      <c r="B797" s="1" t="s">
        <v>1309</v>
      </c>
      <c r="C797" t="s">
        <v>378</v>
      </c>
    </row>
    <row r="798" spans="1:3" x14ac:dyDescent="0.35">
      <c r="A798" s="1" t="str">
        <f t="shared" si="12"/>
        <v>Personal de servicio de recolección total</v>
      </c>
      <c r="B798" s="1" t="s">
        <v>1310</v>
      </c>
      <c r="C798" t="s">
        <v>371</v>
      </c>
    </row>
    <row r="799" spans="1:3" x14ac:dyDescent="0.35">
      <c r="A799" s="1" t="str">
        <f t="shared" si="12"/>
        <v>Cantidad de camiones de recolección</v>
      </c>
      <c r="B799" s="1" t="s">
        <v>1313</v>
      </c>
      <c r="C799" t="s">
        <v>596</v>
      </c>
    </row>
    <row r="800" spans="1:3" x14ac:dyDescent="0.35">
      <c r="A800" s="1" t="str">
        <f t="shared" si="12"/>
        <v>Cantidad de camiones de transporte</v>
      </c>
      <c r="B800" s="1" t="s">
        <v>1314</v>
      </c>
      <c r="C800" t="s">
        <v>597</v>
      </c>
    </row>
    <row r="801" spans="1:3" x14ac:dyDescent="0.35">
      <c r="A801" s="1" t="str">
        <f t="shared" si="12"/>
        <v>Cantidad de contenedores</v>
      </c>
      <c r="B801" s="1" t="s">
        <v>1327</v>
      </c>
      <c r="C801" t="s">
        <v>657</v>
      </c>
    </row>
    <row r="802" spans="1:3" x14ac:dyDescent="0.35">
      <c r="A802" s="1" t="str">
        <f t="shared" si="12"/>
        <v>Promedio anual de horas de uso de camión de recolección por día [h/día]</v>
      </c>
      <c r="B802" s="1" t="s">
        <v>1328</v>
      </c>
      <c r="C802" t="s">
        <v>586</v>
      </c>
    </row>
    <row r="803" spans="1:3" x14ac:dyDescent="0.35">
      <c r="A803" s="1" t="str">
        <f t="shared" si="12"/>
        <v>Toneladas anuales depositadas en sitio de disposición final [ton/año]</v>
      </c>
      <c r="B803" s="1" t="s">
        <v>1329</v>
      </c>
      <c r="C803" t="s">
        <v>81</v>
      </c>
    </row>
    <row r="804" spans="1:3" x14ac:dyDescent="0.35">
      <c r="A804" s="1" t="str">
        <f t="shared" si="12"/>
        <v>Indicadores guía de diseño de servicios de aseo urbano</v>
      </c>
      <c r="B804" s="1" t="s">
        <v>1330</v>
      </c>
      <c r="C804" t="s">
        <v>1680</v>
      </c>
    </row>
    <row r="805" spans="1:3" x14ac:dyDescent="0.35">
      <c r="A805" s="1" t="str">
        <f t="shared" si="12"/>
        <v>Habitantes servidos por empleados de recolección segundaria [hab/empleada/o]</v>
      </c>
      <c r="B805" s="1" t="s">
        <v>1331</v>
      </c>
      <c r="C805" t="s">
        <v>1681</v>
      </c>
    </row>
    <row r="806" spans="1:3" x14ac:dyDescent="0.35">
      <c r="A806" s="1" t="str">
        <f t="shared" si="12"/>
        <v>Eficiencia del servicio de barrido de vías [hab/empleada/o]</v>
      </c>
      <c r="B806" s="1" t="s">
        <v>1332</v>
      </c>
      <c r="C806" t="s">
        <v>1676</v>
      </c>
    </row>
    <row r="807" spans="1:3" x14ac:dyDescent="0.35">
      <c r="A807" s="1" t="str">
        <f t="shared" si="12"/>
        <v>Eficiencia del servicio de barrido de áreas públicas [hab/empleada/o]</v>
      </c>
      <c r="B807" s="1" t="s">
        <v>1333</v>
      </c>
      <c r="C807" t="s">
        <v>1604</v>
      </c>
    </row>
    <row r="808" spans="1:3" x14ac:dyDescent="0.35">
      <c r="A808" s="1" t="str">
        <f t="shared" si="12"/>
        <v>Toneladas por empleado de recolección convencional por día [t/día*empleado]</v>
      </c>
      <c r="B808" s="1" t="s">
        <v>1334</v>
      </c>
      <c r="C808" t="s">
        <v>610</v>
      </c>
    </row>
    <row r="809" spans="1:3" x14ac:dyDescent="0.35">
      <c r="A809" s="1" t="str">
        <f t="shared" si="12"/>
        <v>Eficiencia del personal en barrido de calles [km/persona*día]</v>
      </c>
      <c r="B809" s="1" t="s">
        <v>1335</v>
      </c>
      <c r="C809" t="s">
        <v>576</v>
      </c>
    </row>
    <row r="810" spans="1:3" x14ac:dyDescent="0.35">
      <c r="A810" s="1" t="str">
        <f t="shared" si="12"/>
        <v>Eficiencia del personal en barrido de áreas públicas [m2/persona*día]</v>
      </c>
      <c r="B810" s="1" t="s">
        <v>1336</v>
      </c>
      <c r="C810" t="s">
        <v>1605</v>
      </c>
    </row>
    <row r="811" spans="1:3" x14ac:dyDescent="0.35">
      <c r="A811" s="1" t="str">
        <f t="shared" si="12"/>
        <v>Costo por usuario [$$$/hab*año]</v>
      </c>
      <c r="B811" s="1" t="str">
        <f>CONCATENATE("Cost per user per year [",Info!C5,"/hab*year]")</f>
        <v>Cost per user per year [$$$/hab*year]</v>
      </c>
      <c r="C811" t="str">
        <f>_xlfn.CONCAT("Costo por usuario [",Info!C5,"/hab*año]")</f>
        <v>Costo por usuario [$$$/hab*año]</v>
      </c>
    </row>
    <row r="812" spans="1:3" x14ac:dyDescent="0.35">
      <c r="A812" s="1" t="str">
        <f t="shared" si="12"/>
        <v>Indicadores Helvetas</v>
      </c>
      <c r="B812" s="1" t="s">
        <v>1337</v>
      </c>
      <c r="C812" t="s">
        <v>297</v>
      </c>
    </row>
    <row r="813" spans="1:3" x14ac:dyDescent="0.35">
      <c r="A813" s="1" t="str">
        <f t="shared" si="12"/>
        <v>Cobertura del servicio de barrido de vías [%]</v>
      </c>
      <c r="B813" s="1" t="s">
        <v>1315</v>
      </c>
      <c r="C813" t="s">
        <v>606</v>
      </c>
    </row>
    <row r="814" spans="1:3" x14ac:dyDescent="0.35">
      <c r="A814" s="1" t="str">
        <f t="shared" si="12"/>
        <v>Cobertura del servicio de barrido de áreas públicas [%]</v>
      </c>
      <c r="B814" s="1" t="s">
        <v>1316</v>
      </c>
      <c r="C814" t="s">
        <v>1606</v>
      </c>
    </row>
    <row r="815" spans="1:3" x14ac:dyDescent="0.35">
      <c r="A815" s="1" t="str">
        <f t="shared" si="12"/>
        <v>Cobertura del servicio de recolección [%]</v>
      </c>
      <c r="B815" s="1" t="s">
        <v>1317</v>
      </c>
      <c r="C815" t="s">
        <v>607</v>
      </c>
    </row>
    <row r="816" spans="1:3" x14ac:dyDescent="0.35">
      <c r="A816" s="1" t="str">
        <f t="shared" si="12"/>
        <v>Porcentaje de residuos recolectados del total generado en el área con cobertura [%]</v>
      </c>
      <c r="B816" s="1" t="s">
        <v>1344</v>
      </c>
      <c r="C816" t="s">
        <v>1607</v>
      </c>
    </row>
    <row r="817" spans="1:3" x14ac:dyDescent="0.35">
      <c r="A817" s="1" t="str">
        <f t="shared" si="12"/>
        <v>Porcentaje de residuos totales aprovechados [% de total recolectado]</v>
      </c>
      <c r="B817" s="1" t="s">
        <v>1318</v>
      </c>
      <c r="C817" t="s">
        <v>665</v>
      </c>
    </row>
    <row r="818" spans="1:3" x14ac:dyDescent="0.35">
      <c r="A818" s="1" t="str">
        <f t="shared" si="12"/>
        <v>orgánicos [% del total recolectado]</v>
      </c>
      <c r="B818" s="1" t="s">
        <v>1319</v>
      </c>
      <c r="C818" t="s">
        <v>1634</v>
      </c>
    </row>
    <row r="819" spans="1:3" x14ac:dyDescent="0.35">
      <c r="A819" s="1" t="str">
        <f t="shared" si="12"/>
        <v>Reciclables [% del total recolectado]</v>
      </c>
      <c r="B819" s="1" t="s">
        <v>1320</v>
      </c>
      <c r="C819" t="s">
        <v>611</v>
      </c>
    </row>
    <row r="820" spans="1:3" x14ac:dyDescent="0.35">
      <c r="A820" s="1" t="str">
        <f t="shared" si="12"/>
        <v>Residuos dispuestos de forma sanitariamente segura [% de total recolectado]</v>
      </c>
      <c r="B820" s="1" t="s">
        <v>1321</v>
      </c>
      <c r="C820" t="s">
        <v>621</v>
      </c>
    </row>
    <row r="821" spans="1:3" x14ac:dyDescent="0.35">
      <c r="A821" s="1" t="str">
        <f t="shared" si="12"/>
        <v>Residuos recolectados no gestionados de forma segura [% del total recolectado]</v>
      </c>
      <c r="B821" s="1" t="s">
        <v>1537</v>
      </c>
      <c r="C821" t="s">
        <v>608</v>
      </c>
    </row>
    <row r="822" spans="1:3" x14ac:dyDescent="0.35">
      <c r="A822" s="1" t="str">
        <f t="shared" si="12"/>
        <v>Indicadores de aprovechamiento de residuos</v>
      </c>
      <c r="B822" s="1" t="s">
        <v>1338</v>
      </c>
      <c r="C822" t="s">
        <v>612</v>
      </c>
    </row>
    <row r="823" spans="1:3" x14ac:dyDescent="0.35">
      <c r="A823" s="1" t="str">
        <f t="shared" si="12"/>
        <v>orgánicos aprovechados [% del total de orgánicos recolectados]</v>
      </c>
      <c r="B823" s="1" t="s">
        <v>1339</v>
      </c>
      <c r="C823" t="s">
        <v>1635</v>
      </c>
    </row>
    <row r="824" spans="1:3" x14ac:dyDescent="0.35">
      <c r="A824" s="1" t="str">
        <f t="shared" si="12"/>
        <v>Reciclables aprovechados [% del total de reciclables recolectados]</v>
      </c>
      <c r="B824" s="1" t="s">
        <v>1340</v>
      </c>
      <c r="C824" t="s">
        <v>613</v>
      </c>
    </row>
    <row r="825" spans="1:3" x14ac:dyDescent="0.35">
      <c r="A825" s="1" t="str">
        <f t="shared" si="12"/>
        <v>Los cálculos de eficiencia no toman en cuenta el personal necesario para la recolección primaria</v>
      </c>
      <c r="B825" s="1" t="s">
        <v>1341</v>
      </c>
      <c r="C825" t="s">
        <v>1682</v>
      </c>
    </row>
    <row r="826" spans="1:3" x14ac:dyDescent="0.35">
      <c r="A826" s="1" t="str">
        <f t="shared" si="12"/>
        <v>Considera barrido manual para escenarios</v>
      </c>
      <c r="B826" s="1" t="s">
        <v>1342</v>
      </c>
      <c r="C826" t="s">
        <v>620</v>
      </c>
    </row>
    <row r="827" spans="1:3" x14ac:dyDescent="0.35">
      <c r="A827" s="197" t="str">
        <f t="shared" si="12"/>
        <v>Residuos sólidos no gestionados en base al total generado en la zona considerada</v>
      </c>
      <c r="B827" s="25" t="s">
        <v>1396</v>
      </c>
      <c r="C827" s="1" t="s">
        <v>1683</v>
      </c>
    </row>
    <row r="828" spans="1:3" x14ac:dyDescent="0.35">
      <c r="A828" s="1" t="str">
        <f t="shared" si="12"/>
        <v>Residuos sólidos no recolectados: RS generados fuera de la zona de cobertura [%]</v>
      </c>
      <c r="B828" s="1" t="s">
        <v>1345</v>
      </c>
      <c r="C828" t="s">
        <v>1684</v>
      </c>
    </row>
    <row r="829" spans="1:3" x14ac:dyDescent="0.35">
      <c r="A829" s="1" t="str">
        <f t="shared" si="12"/>
        <v>Residuos sólidos no recolectados: RS generados dentro de la zona de cobertura [%]</v>
      </c>
      <c r="B829" s="1" t="s">
        <v>1346</v>
      </c>
      <c r="C829" t="s">
        <v>1685</v>
      </c>
    </row>
    <row r="830" spans="1:3" x14ac:dyDescent="0.35">
      <c r="A830" s="1" t="str">
        <f t="shared" si="12"/>
        <v>Residuos sólidos recolectados no gestionados de forma segura [%]</v>
      </c>
      <c r="B830" s="1" t="s">
        <v>1347</v>
      </c>
      <c r="C830" t="s">
        <v>1348</v>
      </c>
    </row>
    <row r="831" spans="1:3" x14ac:dyDescent="0.35">
      <c r="A831" s="1" t="str">
        <f t="shared" si="12"/>
        <v>Residuos sólidos totales no gestionados [%]</v>
      </c>
      <c r="B831" s="1" t="s">
        <v>1349</v>
      </c>
      <c r="C831" t="s">
        <v>1350</v>
      </c>
    </row>
    <row r="832" spans="1:3" x14ac:dyDescent="0.35">
      <c r="A832" s="1" t="str">
        <f t="shared" si="12"/>
        <v>Residuos sólidos totales gestionados [%]</v>
      </c>
      <c r="B832" s="1" t="s">
        <v>1397</v>
      </c>
      <c r="C832" t="s">
        <v>1373</v>
      </c>
    </row>
    <row r="833" spans="1:3" x14ac:dyDescent="0.35">
      <c r="A833" s="1" t="str">
        <f t="shared" si="12"/>
        <v>Contribución del sector informal</v>
      </c>
      <c r="B833" s="1" t="s">
        <v>1472</v>
      </c>
      <c r="C833" t="s">
        <v>1473</v>
      </c>
    </row>
    <row r="834" spans="1:3" ht="29" x14ac:dyDescent="0.35">
      <c r="A834" s="1" t="str">
        <f t="shared" ref="A834:A877" si="13">HLOOKUP($A$1,B:K,ROW(A834),0)</f>
        <v>Las contribuciones siguientes aplican a los RS totales generados en la zona (zona con y sin cobertura formal)</v>
      </c>
      <c r="B834" s="1" t="s">
        <v>1475</v>
      </c>
      <c r="C834" t="s">
        <v>1686</v>
      </c>
    </row>
    <row r="835" spans="1:3" x14ac:dyDescent="0.35">
      <c r="A835" s="1" t="str">
        <f t="shared" si="13"/>
        <v>Residuos sólidos recolectados [%]</v>
      </c>
      <c r="B835" s="1" t="s">
        <v>1484</v>
      </c>
      <c r="C835" t="s">
        <v>1485</v>
      </c>
    </row>
    <row r="836" spans="1:3" x14ac:dyDescent="0.35">
      <c r="A836" s="1" t="str">
        <f t="shared" si="13"/>
        <v>Orgánicos gestionados [%]</v>
      </c>
      <c r="B836" s="1" t="s">
        <v>1482</v>
      </c>
      <c r="C836" s="1" t="s">
        <v>1687</v>
      </c>
    </row>
    <row r="837" spans="1:3" x14ac:dyDescent="0.35">
      <c r="A837" s="1" t="str">
        <f t="shared" si="13"/>
        <v>Reciclables gestionados [%]</v>
      </c>
      <c r="B837" s="1" t="s">
        <v>1483</v>
      </c>
      <c r="C837" s="1" t="s">
        <v>1688</v>
      </c>
    </row>
    <row r="838" spans="1:3" x14ac:dyDescent="0.35">
      <c r="A838" s="1" t="str">
        <f t="shared" si="13"/>
        <v>Disposición final adecuada [%]</v>
      </c>
      <c r="B838" s="1" t="s">
        <v>1538</v>
      </c>
      <c r="C838" t="s">
        <v>1474</v>
      </c>
    </row>
    <row r="839" spans="1:3" x14ac:dyDescent="0.35">
      <c r="A839" s="1" t="str">
        <f t="shared" si="13"/>
        <v>Costos totales del servicio de gestión de los residuos sólidos</v>
      </c>
      <c r="B839" s="1" t="s">
        <v>1359</v>
      </c>
      <c r="C839" t="s">
        <v>1357</v>
      </c>
    </row>
    <row r="840" spans="1:3" x14ac:dyDescent="0.35">
      <c r="A840" s="1" t="str">
        <f t="shared" si="13"/>
        <v>Costos totales de la recolección y transporte de los residuos sólidos</v>
      </c>
      <c r="B840" s="1" t="s">
        <v>1360</v>
      </c>
      <c r="C840" t="s">
        <v>1358</v>
      </c>
    </row>
    <row r="841" spans="1:3" x14ac:dyDescent="0.35">
      <c r="A841" s="1" t="str">
        <f t="shared" si="13"/>
        <v>Costo anual [$$$/año]</v>
      </c>
      <c r="B841" s="1" t="str">
        <f>_xlfn.CONCAT("Yearly costs [",Info!C5,"/year]")</f>
        <v>Yearly costs [$$$/year]</v>
      </c>
      <c r="C841" t="str">
        <f>_xlfn.CONCAT("Costo anual [",Info!C5,"/año]")</f>
        <v>Costo anual [$$$/año]</v>
      </c>
    </row>
    <row r="842" spans="1:3" x14ac:dyDescent="0.35">
      <c r="A842" s="1" t="str">
        <f t="shared" si="13"/>
        <v>Costos de recolección primaria</v>
      </c>
      <c r="B842" s="1" t="s">
        <v>1361</v>
      </c>
      <c r="C842" t="s">
        <v>353</v>
      </c>
    </row>
    <row r="843" spans="1:3" x14ac:dyDescent="0.35">
      <c r="A843" s="1" t="str">
        <f t="shared" si="13"/>
        <v>Costos de recolección</v>
      </c>
      <c r="B843" s="1" t="s">
        <v>1362</v>
      </c>
      <c r="C843" t="s">
        <v>322</v>
      </c>
    </row>
    <row r="844" spans="1:3" x14ac:dyDescent="0.35">
      <c r="A844" s="1" t="str">
        <f t="shared" si="13"/>
        <v>Costos de transporte</v>
      </c>
      <c r="B844" s="1" t="s">
        <v>1363</v>
      </c>
      <c r="C844" t="s">
        <v>323</v>
      </c>
    </row>
    <row r="845" spans="1:3" x14ac:dyDescent="0.35">
      <c r="A845" s="1" t="str">
        <f t="shared" si="13"/>
        <v>Costos estación de transferencia</v>
      </c>
      <c r="B845" s="1" t="s">
        <v>1364</v>
      </c>
      <c r="C845" t="s">
        <v>325</v>
      </c>
    </row>
    <row r="846" spans="1:3" x14ac:dyDescent="0.35">
      <c r="A846" s="1" t="str">
        <f t="shared" si="13"/>
        <v>Costos de contenedores</v>
      </c>
      <c r="B846" s="1" t="s">
        <v>1365</v>
      </c>
      <c r="C846" t="s">
        <v>324</v>
      </c>
    </row>
    <row r="847" spans="1:3" x14ac:dyDescent="0.35">
      <c r="A847" s="1" t="str">
        <f t="shared" si="13"/>
        <v>Costo de recolección y transferencia por tonelada [$$$/ton]</v>
      </c>
      <c r="B847" s="1" t="str">
        <f>_xlfn.CONCAT("Collection and transport costs per ton [",Info!C5,"/ton]")</f>
        <v>Collection and transport costs per ton [$$$/ton]</v>
      </c>
      <c r="C847" t="str">
        <f>_xlfn.CONCAT("Costo de recolección y transferencia por tonelada [",Info!C5,"/ton]")</f>
        <v>Costo de recolección y transferencia por tonelada [$$$/ton]</v>
      </c>
    </row>
    <row r="848" spans="1:3" x14ac:dyDescent="0.35">
      <c r="A848" s="1" t="str">
        <f t="shared" si="13"/>
        <v>Grupo de ingresos</v>
      </c>
      <c r="B848" t="s">
        <v>1351</v>
      </c>
      <c r="C848" t="s">
        <v>1368</v>
      </c>
    </row>
    <row r="849" spans="1:3" x14ac:dyDescent="0.35">
      <c r="A849" s="1" t="str">
        <f t="shared" si="13"/>
        <v>País de ingreso bajo</v>
      </c>
      <c r="B849" t="s">
        <v>1352</v>
      </c>
      <c r="C849" t="s">
        <v>1369</v>
      </c>
    </row>
    <row r="850" spans="1:3" x14ac:dyDescent="0.35">
      <c r="A850" s="1" t="str">
        <f t="shared" si="13"/>
        <v>País de ingreso mediano bajo</v>
      </c>
      <c r="B850" t="s">
        <v>1353</v>
      </c>
      <c r="C850" t="s">
        <v>1370</v>
      </c>
    </row>
    <row r="851" spans="1:3" x14ac:dyDescent="0.35">
      <c r="A851" s="1" t="str">
        <f t="shared" si="13"/>
        <v>País de ingreso mediano alto</v>
      </c>
      <c r="B851" t="s">
        <v>1354</v>
      </c>
      <c r="C851" t="s">
        <v>1371</v>
      </c>
    </row>
    <row r="852" spans="1:3" x14ac:dyDescent="0.35">
      <c r="A852" s="1" t="str">
        <f t="shared" si="13"/>
        <v>País de ingreso alto</v>
      </c>
      <c r="B852" t="s">
        <v>1355</v>
      </c>
      <c r="C852" t="s">
        <v>1372</v>
      </c>
    </row>
    <row r="853" spans="1:3" ht="29" x14ac:dyDescent="0.35">
      <c r="A853" s="1" t="str">
        <f t="shared" si="13"/>
        <v>Opcional: si completa esta parte, se verán en los resultados Fig. 5: Comparación de los costos actuales con los costos típicos de gestión de residuos para diferentes niveles de renta de los países</v>
      </c>
      <c r="B853" s="1" t="str">
        <f>_xlfn.CONCAT("Optional: if you include values here, they will show in the results ",B868)</f>
        <v>Optional: if you include values here, they will show in the results Fig. 5: Comparison of current costs to typical waste management costs for different country income levels</v>
      </c>
      <c r="C853" s="1" t="str">
        <f>_xlfn.CONCAT("Opcional: si completa esta parte, se verán en los resultados ",C868)</f>
        <v>Opcional: si completa esta parte, se verán en los resultados Fig. 5: Comparación de los costos actuales con los costos típicos de gestión de residuos para diferentes niveles de renta de los países</v>
      </c>
    </row>
    <row r="854" spans="1:3" x14ac:dyDescent="0.35">
      <c r="A854" s="1" t="str">
        <f t="shared" si="13"/>
        <v>Costos típicos del país</v>
      </c>
      <c r="B854" t="s">
        <v>1367</v>
      </c>
      <c r="C854" t="s">
        <v>1689</v>
      </c>
    </row>
    <row r="855" spans="1:3" x14ac:dyDescent="0.35">
      <c r="A855" s="1" t="str">
        <f t="shared" si="13"/>
        <v>Valor mínimo</v>
      </c>
      <c r="B855" t="s">
        <v>1454</v>
      </c>
      <c r="C855" t="s">
        <v>1690</v>
      </c>
    </row>
    <row r="856" spans="1:3" x14ac:dyDescent="0.35">
      <c r="A856" s="1" t="str">
        <f t="shared" si="13"/>
        <v>Valor máximo</v>
      </c>
      <c r="B856" t="s">
        <v>1455</v>
      </c>
      <c r="C856" t="s">
        <v>1630</v>
      </c>
    </row>
    <row r="857" spans="1:3" x14ac:dyDescent="0.35">
      <c r="A857" s="1" t="str">
        <f t="shared" si="13"/>
        <v>Caso real actual</v>
      </c>
      <c r="B857" t="s">
        <v>1366</v>
      </c>
      <c r="C857" t="s">
        <v>622</v>
      </c>
    </row>
    <row r="858" spans="1:3" x14ac:dyDescent="0.35">
      <c r="A858" s="1" t="str">
        <f t="shared" si="13"/>
        <v>Barrido/Limpieza urbana [$$$/ton]</v>
      </c>
      <c r="B858" t="str">
        <f>_xlfn.CONCAT("Street sweeping [",Info!C5,"/ton]")</f>
        <v>Street sweeping [$$$/ton]</v>
      </c>
      <c r="C858" t="str">
        <f>_xlfn.CONCAT("Barrido/Limpieza urbana [",Info!C5,"/ton]")</f>
        <v>Barrido/Limpieza urbana [$$$/ton]</v>
      </c>
    </row>
    <row r="859" spans="1:3" x14ac:dyDescent="0.35">
      <c r="A859" s="1" t="str">
        <f t="shared" si="13"/>
        <v>Recolección y transporte [$$$/ton]</v>
      </c>
      <c r="B859" t="str">
        <f>_xlfn.CONCAT("Collection and transport [",Info!C5,"/ton]")</f>
        <v>Collection and transport [$$$/ton]</v>
      </c>
      <c r="C859" t="str">
        <f>_xlfn.CONCAT("Recolección y transporte [",Info!C5,"/ton]")</f>
        <v>Recolección y transporte [$$$/ton]</v>
      </c>
    </row>
    <row r="860" spans="1:3" x14ac:dyDescent="0.35">
      <c r="A860" s="1" t="str">
        <f t="shared" si="13"/>
        <v>Botadero [$$$/ton]</v>
      </c>
      <c r="B860" t="str">
        <f>_xlfn.CONCAT("Dumping [",Info!C5,"/ton]")</f>
        <v>Dumping [$$$/ton]</v>
      </c>
      <c r="C860" t="str">
        <f>_xlfn.CONCAT("Botadero [",Info!C5,"/ton]")</f>
        <v>Botadero [$$$/ton]</v>
      </c>
    </row>
    <row r="861" spans="1:3" x14ac:dyDescent="0.35">
      <c r="A861" s="1" t="str">
        <f t="shared" si="13"/>
        <v>Relleno sanitario [B$$$/ton]</v>
      </c>
      <c r="B861" t="str">
        <f>_xlfn.CONCAT("Landfilling [",Info!C5,"/ton]")</f>
        <v>Landfilling [$$$/ton]</v>
      </c>
      <c r="C861" t="str">
        <f>_xlfn.CONCAT("Relleno sanitario [B",Info!C5,"/ton]")</f>
        <v>Relleno sanitario [B$$$/ton]</v>
      </c>
    </row>
    <row r="862" spans="1:3" x14ac:dyDescent="0.35">
      <c r="A862" s="1" t="str">
        <f t="shared" si="13"/>
        <v>Compostaje [$$$/ton]</v>
      </c>
      <c r="B862" t="str">
        <f>_xlfn.CONCAT("Composting [",Info!C5,"/ton]")</f>
        <v>Composting [$$$/ton]</v>
      </c>
      <c r="C862" t="str">
        <f>_xlfn.CONCAT("Compostaje [",Info!C5,"/ton]")</f>
        <v>Compostaje [$$$/ton]</v>
      </c>
    </row>
    <row r="863" spans="1:3" x14ac:dyDescent="0.35">
      <c r="A863" s="1" t="str">
        <f t="shared" si="13"/>
        <v>Incineración [$$$/ton]</v>
      </c>
      <c r="B863" t="str">
        <f>_xlfn.CONCAT("Incinerate [",Info!C5,"/ton]")</f>
        <v>Incinerate [$$$/ton]</v>
      </c>
      <c r="C863" t="str">
        <f>_xlfn.CONCAT("Incineración [",Info!C5,"/ton]")</f>
        <v>Incineración [$$$/ton]</v>
      </c>
    </row>
    <row r="864" spans="1:3" ht="29" x14ac:dyDescent="0.35">
      <c r="A864" s="1" t="str">
        <f t="shared" si="13"/>
        <v>Fig. 1: Fracciones de residuos sólidos gestionadas y no gestionadas en base al total generado en la totalidad de la zona considerada.</v>
      </c>
      <c r="B864" s="1" t="s">
        <v>1400</v>
      </c>
      <c r="C864" s="1" t="s">
        <v>1401</v>
      </c>
    </row>
    <row r="865" spans="1:3" x14ac:dyDescent="0.35">
      <c r="A865" s="1" t="str">
        <f t="shared" si="13"/>
        <v>Fig. 2: Distribución de los costos de gestión de residuos sólidos</v>
      </c>
      <c r="B865" t="s">
        <v>1404</v>
      </c>
      <c r="C865" t="s">
        <v>1403</v>
      </c>
    </row>
    <row r="866" spans="1:3" x14ac:dyDescent="0.35">
      <c r="A866" s="1" t="str">
        <f t="shared" si="13"/>
        <v>Fig. 3: Distribución de los costos de prestación del servicio</v>
      </c>
      <c r="B866" t="s">
        <v>1402</v>
      </c>
      <c r="C866" t="s">
        <v>1405</v>
      </c>
    </row>
    <row r="867" spans="1:3" x14ac:dyDescent="0.35">
      <c r="A867" s="1" t="str">
        <f t="shared" si="13"/>
        <v>Fig. 4: Costos, presupuesto e ingresos anuales</v>
      </c>
      <c r="B867" t="s">
        <v>1406</v>
      </c>
      <c r="C867" t="s">
        <v>1691</v>
      </c>
    </row>
    <row r="868" spans="1:3" ht="29" x14ac:dyDescent="0.35">
      <c r="A868" s="1" t="str">
        <f t="shared" si="13"/>
        <v>Fig. 5: Comparación de los costos actuales con los costos típicos de gestión de residuos para diferentes niveles de renta de los países</v>
      </c>
      <c r="B868" s="1" t="s">
        <v>1407</v>
      </c>
      <c r="C868" s="1" t="s">
        <v>1408</v>
      </c>
    </row>
    <row r="869" spans="1:3" ht="29" x14ac:dyDescent="0.35">
      <c r="A869" s="1" t="str">
        <f t="shared" si="13"/>
        <v>Fig. 6: Costos anuales de la recolección y transporte de los residuos sólidos para el caso real y los escenarios de modelización</v>
      </c>
      <c r="B869" s="1" t="s">
        <v>1409</v>
      </c>
      <c r="C869" s="1" t="s">
        <v>1692</v>
      </c>
    </row>
    <row r="870" spans="1:3" x14ac:dyDescent="0.35">
      <c r="A870" s="1" t="str">
        <f t="shared" si="13"/>
        <v>Fig. 7: Costos anuales de gestión de los residuos sólidos estimados en los escenarios de modelización</v>
      </c>
      <c r="B870" t="s">
        <v>1410</v>
      </c>
      <c r="C870" t="s">
        <v>1411</v>
      </c>
    </row>
    <row r="871" spans="1:3" x14ac:dyDescent="0.35">
      <c r="A871" s="1" t="str">
        <f t="shared" si="13"/>
        <v>Fig. 8: Costos anuales de barrido/limpieza urbana para el caso real y los escenarios de modelización</v>
      </c>
      <c r="B871" t="s">
        <v>1412</v>
      </c>
      <c r="C871" t="s">
        <v>1693</v>
      </c>
    </row>
    <row r="872" spans="1:3" x14ac:dyDescent="0.35">
      <c r="A872" s="1" t="str">
        <f t="shared" si="13"/>
        <v>Tabla 1: Datos base</v>
      </c>
      <c r="B872" t="s">
        <v>1456</v>
      </c>
      <c r="C872" t="s">
        <v>1457</v>
      </c>
    </row>
    <row r="873" spans="1:3" x14ac:dyDescent="0.35">
      <c r="A873" s="1" t="str">
        <f t="shared" si="13"/>
        <v>Tabla 2: Indicadores de eficiencia de la gestión de los residuos sólidos</v>
      </c>
      <c r="B873" t="s">
        <v>1417</v>
      </c>
      <c r="C873" t="s">
        <v>1695</v>
      </c>
    </row>
    <row r="874" spans="1:3" x14ac:dyDescent="0.35">
      <c r="A874" s="1" t="str">
        <f t="shared" si="13"/>
        <v>Tabla 3: Contribución del sector informal</v>
      </c>
      <c r="B874" t="s">
        <v>1480</v>
      </c>
      <c r="C874" t="s">
        <v>1481</v>
      </c>
    </row>
    <row r="875" spans="1:3" x14ac:dyDescent="0.35">
      <c r="A875" s="1" t="str">
        <f t="shared" si="13"/>
        <v>Tabla 4: Resumen de costos, presupuesto e ingresos</v>
      </c>
      <c r="B875" t="s">
        <v>1476</v>
      </c>
      <c r="C875" t="s">
        <v>1479</v>
      </c>
    </row>
    <row r="876" spans="1:3" ht="29" x14ac:dyDescent="0.35">
      <c r="A876" s="1" t="str">
        <f t="shared" si="13"/>
        <v>Tabla 5: Resumen de costos anuales de la gestión de los residuos sólidos para el caso real y los escenarios de modelización</v>
      </c>
      <c r="B876" s="197" t="s">
        <v>1477</v>
      </c>
      <c r="C876" s="1" t="s">
        <v>1694</v>
      </c>
    </row>
    <row r="877" spans="1:3" ht="29" x14ac:dyDescent="0.35">
      <c r="A877" s="1" t="str">
        <f t="shared" si="13"/>
        <v>Tabla 6: Indicadores de eficiencia de la gestión de los residuos sólidos para el caso real y los escenarios de modelización</v>
      </c>
      <c r="B877" s="1" t="s">
        <v>1478</v>
      </c>
      <c r="C877" s="1" t="s">
        <v>1696</v>
      </c>
    </row>
  </sheetData>
  <sheetProtection algorithmName="SHA-512" hashValue="4TsWWl+Cqpw62/bxzc1EqlYk/cbt4TKfJbP89eDmGNoCGVrYLJfiRr1IyURiuj+DlZ6BpToBzyXCpkv+FM9Dpg==" saltValue="8Z39PcQ4EItnxSpD4FgowQ=="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32" sqref="N32"/>
    </sheetView>
  </sheetViews>
  <sheetFormatPr defaultRowHeight="14.5" x14ac:dyDescent="0.35"/>
  <sheetData>
    <row r="1" spans="1:1" x14ac:dyDescent="0.35">
      <c r="A1" t="s">
        <v>1698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zoomScale="85" zoomScaleNormal="85" workbookViewId="0">
      <selection activeCell="D27" sqref="D27"/>
    </sheetView>
  </sheetViews>
  <sheetFormatPr defaultColWidth="0" defaultRowHeight="14.5" zeroHeight="1" x14ac:dyDescent="0.35"/>
  <cols>
    <col min="1" max="1" width="4.1796875" style="30" customWidth="1"/>
    <col min="2" max="2" width="27.7265625" bestFit="1" customWidth="1"/>
    <col min="3" max="5" width="14" customWidth="1"/>
    <col min="6" max="19" width="12.1796875" customWidth="1"/>
    <col min="20" max="20" width="11.453125" customWidth="1"/>
    <col min="21" max="26" width="0" hidden="1" customWidth="1"/>
    <col min="27" max="16384" width="11.453125" hidden="1"/>
  </cols>
  <sheetData>
    <row r="1" spans="1:26" x14ac:dyDescent="0.35">
      <c r="B1" s="30"/>
      <c r="C1" s="30"/>
      <c r="D1" s="30"/>
      <c r="E1" s="30"/>
      <c r="F1" s="30"/>
      <c r="G1" s="30"/>
      <c r="H1" s="30"/>
      <c r="I1" s="30"/>
      <c r="J1" s="30"/>
      <c r="K1" s="30"/>
      <c r="L1" s="30"/>
      <c r="M1" s="30"/>
      <c r="N1" s="30"/>
      <c r="O1" s="30"/>
      <c r="P1" s="30"/>
      <c r="Q1" s="30"/>
      <c r="R1" s="30"/>
      <c r="S1" s="30"/>
      <c r="T1" s="30"/>
    </row>
    <row r="2" spans="1:26" ht="15" thickBot="1" x14ac:dyDescent="0.4">
      <c r="B2" s="30"/>
      <c r="C2" s="30"/>
      <c r="D2" s="30"/>
      <c r="E2" s="30"/>
      <c r="F2" s="30"/>
      <c r="G2" s="30"/>
      <c r="H2" s="30"/>
      <c r="I2" s="30"/>
      <c r="J2" s="30"/>
      <c r="K2" s="30"/>
      <c r="L2" s="30"/>
      <c r="M2" s="30"/>
      <c r="N2" s="30"/>
      <c r="O2" s="30"/>
      <c r="P2" s="30"/>
      <c r="Q2" s="30"/>
      <c r="R2" s="30"/>
      <c r="S2" s="30"/>
      <c r="T2" s="30"/>
    </row>
    <row r="3" spans="1:26" s="10" customFormat="1" x14ac:dyDescent="0.35">
      <c r="A3" s="30"/>
      <c r="B3" s="145" t="str">
        <f>Language!$A$848</f>
        <v>Grupo de ingresos</v>
      </c>
      <c r="C3" s="1121" t="str">
        <f>Language!$A$858</f>
        <v>Barrido/Limpieza urbana [$$$/ton]</v>
      </c>
      <c r="D3" s="1121"/>
      <c r="E3" s="1121"/>
      <c r="F3" s="1121" t="str">
        <f>Language!$A$859</f>
        <v>Recolección y transporte [$$$/ton]</v>
      </c>
      <c r="G3" s="1121"/>
      <c r="H3" s="1121"/>
      <c r="I3" s="1121" t="str">
        <f>Language!$A$860</f>
        <v>Botadero [$$$/ton]</v>
      </c>
      <c r="J3" s="1121"/>
      <c r="K3" s="1121"/>
      <c r="L3" s="1121" t="str">
        <f>Language!$A$861</f>
        <v>Relleno sanitario [B$$$/ton]</v>
      </c>
      <c r="M3" s="1121"/>
      <c r="N3" s="1121"/>
      <c r="O3" s="1121" t="str">
        <f>Language!$A$862</f>
        <v>Compostaje [$$$/ton]</v>
      </c>
      <c r="P3" s="1121"/>
      <c r="Q3" s="1121"/>
      <c r="R3" s="1121" t="str">
        <f>Language!$A$863</f>
        <v>Incineración [$$$/ton]</v>
      </c>
      <c r="S3" s="1121"/>
      <c r="T3" s="1122"/>
    </row>
    <row r="4" spans="1:26" x14ac:dyDescent="0.35">
      <c r="B4" s="32"/>
      <c r="C4" s="146"/>
      <c r="D4" s="146"/>
      <c r="E4" s="86" t="str">
        <f>'4) Resultados'!$U$30</f>
        <v/>
      </c>
      <c r="F4" s="146"/>
      <c r="G4" s="146"/>
      <c r="H4" s="86" t="e">
        <f>'4) Resultados'!$AW$10/'0) Intro'!$F$22</f>
        <v>#DIV/0!</v>
      </c>
      <c r="I4" s="146"/>
      <c r="J4" s="146"/>
      <c r="K4" s="27" t="e">
        <f>'4) Resultados'!$AW$14/'0) Intro'!$F$25</f>
        <v>#DIV/0!</v>
      </c>
      <c r="L4" s="146"/>
      <c r="M4" s="146"/>
      <c r="N4" s="27" t="e">
        <f>'4) Resultados'!$AW$14/'0) Intro'!$F$25</f>
        <v>#DIV/0!</v>
      </c>
      <c r="O4" s="146"/>
      <c r="P4" s="146"/>
      <c r="Q4" s="27" t="e">
        <f>'4) Resultados'!$AW$12/'0) Intro'!$F$23</f>
        <v>#DIV/0!</v>
      </c>
      <c r="R4" s="146"/>
      <c r="S4" s="146"/>
      <c r="T4" s="147"/>
    </row>
    <row r="5" spans="1:26" x14ac:dyDescent="0.35">
      <c r="B5" s="32" t="str">
        <f>Language!$A$849</f>
        <v>País de ingreso bajo</v>
      </c>
      <c r="C5" s="27" t="s">
        <v>1356</v>
      </c>
      <c r="D5" s="27" t="s">
        <v>1356</v>
      </c>
      <c r="E5" s="86" t="str">
        <f>'4) Resultados'!$U$30</f>
        <v/>
      </c>
      <c r="F5" s="27">
        <f>20*Info!C6</f>
        <v>20</v>
      </c>
      <c r="G5" s="27">
        <f>50*Info!C6</f>
        <v>50</v>
      </c>
      <c r="H5" s="86" t="e">
        <f>'4) Resultados'!$AW$10/'0) Intro'!$F$22</f>
        <v>#DIV/0!</v>
      </c>
      <c r="I5" s="27">
        <f>2*Info!C6</f>
        <v>2</v>
      </c>
      <c r="J5" s="27">
        <f>8*Info!C6</f>
        <v>8</v>
      </c>
      <c r="K5" s="27" t="e">
        <f>'4) Resultados'!$AW$14/'0) Intro'!$F$25</f>
        <v>#DIV/0!</v>
      </c>
      <c r="L5" s="27">
        <f>10*Info!C6</f>
        <v>10</v>
      </c>
      <c r="M5" s="27">
        <f>30*Info!C6</f>
        <v>30</v>
      </c>
      <c r="N5" s="27" t="e">
        <f>'4) Resultados'!$AW$14/'0) Intro'!$F$25</f>
        <v>#DIV/0!</v>
      </c>
      <c r="O5" s="27">
        <f>5*Info!C6</f>
        <v>5</v>
      </c>
      <c r="P5" s="27">
        <f>30*Info!C6</f>
        <v>30</v>
      </c>
      <c r="Q5" s="27" t="e">
        <f>'4) Resultados'!$AW$12/'0) Intro'!$F$23</f>
        <v>#DIV/0!</v>
      </c>
      <c r="R5" s="27" t="s">
        <v>1356</v>
      </c>
      <c r="S5" s="27" t="s">
        <v>1356</v>
      </c>
      <c r="T5" s="77"/>
    </row>
    <row r="6" spans="1:26" x14ac:dyDescent="0.35">
      <c r="B6" s="32" t="str">
        <f>Language!$A$850</f>
        <v>País de ingreso mediano bajo</v>
      </c>
      <c r="C6" s="27" t="s">
        <v>1356</v>
      </c>
      <c r="D6" s="27" t="s">
        <v>1356</v>
      </c>
      <c r="E6" s="86" t="str">
        <f>'4) Resultados'!$U$30</f>
        <v/>
      </c>
      <c r="F6" s="27">
        <f>30*Info!C6</f>
        <v>30</v>
      </c>
      <c r="G6" s="27">
        <f>75*Info!C6</f>
        <v>75</v>
      </c>
      <c r="H6" s="86" t="e">
        <f>'4) Resultados'!$AW$10/'0) Intro'!$F$22</f>
        <v>#DIV/0!</v>
      </c>
      <c r="I6" s="27">
        <f>3*Info!C6</f>
        <v>3</v>
      </c>
      <c r="J6" s="27">
        <f>10*Info!C6</f>
        <v>10</v>
      </c>
      <c r="K6" s="27" t="e">
        <f>'4) Resultados'!$AW$14/'0) Intro'!$F$25</f>
        <v>#DIV/0!</v>
      </c>
      <c r="L6" s="27">
        <f>15*Info!C6</f>
        <v>15</v>
      </c>
      <c r="M6" s="27">
        <f>40*Info!C6</f>
        <v>40</v>
      </c>
      <c r="N6" s="27" t="e">
        <f>'4) Resultados'!$AW$14/'0) Intro'!$F$25</f>
        <v>#DIV/0!</v>
      </c>
      <c r="O6" s="27">
        <f>10*Info!C6</f>
        <v>10</v>
      </c>
      <c r="P6" s="27">
        <f>40*Info!C6</f>
        <v>40</v>
      </c>
      <c r="Q6" s="27" t="e">
        <f>'4) Resultados'!$AW$12/'0) Intro'!$F$23</f>
        <v>#DIV/0!</v>
      </c>
      <c r="R6" s="27">
        <f>40*Info!C6</f>
        <v>40</v>
      </c>
      <c r="S6" s="27">
        <f>100*Info!C6</f>
        <v>100</v>
      </c>
      <c r="T6" s="77"/>
    </row>
    <row r="7" spans="1:26" x14ac:dyDescent="0.35">
      <c r="B7" s="32" t="str">
        <f>Language!$A$851</f>
        <v>País de ingreso mediano alto</v>
      </c>
      <c r="C7" s="27" t="s">
        <v>1356</v>
      </c>
      <c r="D7" s="27" t="s">
        <v>1356</v>
      </c>
      <c r="E7" s="86" t="str">
        <f>'4) Resultados'!$U$30</f>
        <v/>
      </c>
      <c r="F7" s="27">
        <f>40*Info!C6</f>
        <v>40</v>
      </c>
      <c r="G7" s="27">
        <f>90*Info!C6</f>
        <v>90</v>
      </c>
      <c r="H7" s="86" t="e">
        <f>'4) Resultados'!$AW$10/'0) Intro'!$F$22</f>
        <v>#DIV/0!</v>
      </c>
      <c r="I7" s="27" t="s">
        <v>1356</v>
      </c>
      <c r="J7" s="27" t="s">
        <v>1356</v>
      </c>
      <c r="K7" s="27" t="e">
        <f>'4) Resultados'!$AW$14/'0) Intro'!$F$25</f>
        <v>#DIV/0!</v>
      </c>
      <c r="L7" s="27">
        <f>25*Info!C6</f>
        <v>25</v>
      </c>
      <c r="M7" s="27">
        <f>75*Info!C6</f>
        <v>75</v>
      </c>
      <c r="N7" s="27" t="e">
        <f>'4) Resultados'!$AW$14/'0) Intro'!$F$25</f>
        <v>#DIV/0!</v>
      </c>
      <c r="O7" s="27">
        <f>20*Info!C6</f>
        <v>20</v>
      </c>
      <c r="P7" s="27">
        <f>75*Info!C6</f>
        <v>75</v>
      </c>
      <c r="Q7" s="27" t="e">
        <f>'4) Resultados'!$AW$12/'0) Intro'!$F$23</f>
        <v>#DIV/0!</v>
      </c>
      <c r="R7" s="27">
        <f>60*Info!C6</f>
        <v>60</v>
      </c>
      <c r="S7" s="27">
        <f>150*Info!C6</f>
        <v>150</v>
      </c>
      <c r="T7" s="77"/>
    </row>
    <row r="8" spans="1:26" x14ac:dyDescent="0.35">
      <c r="B8" s="32" t="str">
        <f>Language!$A$852</f>
        <v>País de ingreso alto</v>
      </c>
      <c r="C8" s="27" t="s">
        <v>1356</v>
      </c>
      <c r="D8" s="27" t="s">
        <v>1356</v>
      </c>
      <c r="E8" s="86" t="str">
        <f>'4) Resultados'!$U$30</f>
        <v/>
      </c>
      <c r="F8" s="27">
        <f>85*Info!C6</f>
        <v>85</v>
      </c>
      <c r="G8" s="27">
        <f>250*Info!C6</f>
        <v>250</v>
      </c>
      <c r="H8" s="86" t="e">
        <f>'4) Resultados'!$AW$10/'0) Intro'!$F$22</f>
        <v>#DIV/0!</v>
      </c>
      <c r="I8" s="27" t="s">
        <v>1356</v>
      </c>
      <c r="J8" s="27" t="s">
        <v>1356</v>
      </c>
      <c r="K8" s="27" t="e">
        <f>'4) Resultados'!$AW$14/'0) Intro'!$F$25</f>
        <v>#DIV/0!</v>
      </c>
      <c r="L8" s="27">
        <f>40*Info!C6</f>
        <v>40</v>
      </c>
      <c r="M8" s="27">
        <f>100*Info!C6</f>
        <v>100</v>
      </c>
      <c r="N8" s="27" t="e">
        <f>'4) Resultados'!$AW$14/'0) Intro'!$F$25</f>
        <v>#DIV/0!</v>
      </c>
      <c r="O8" s="27">
        <f>35*Info!C6</f>
        <v>35</v>
      </c>
      <c r="P8" s="27">
        <f>90*Info!C6</f>
        <v>90</v>
      </c>
      <c r="Q8" s="27" t="e">
        <f>'4) Resultados'!$AW$12/'0) Intro'!$F$23</f>
        <v>#DIV/0!</v>
      </c>
      <c r="R8" s="27">
        <f>70*Info!C6</f>
        <v>70</v>
      </c>
      <c r="S8" s="27">
        <f>200*Info!C6</f>
        <v>200</v>
      </c>
      <c r="T8" s="77"/>
    </row>
    <row r="9" spans="1:26" x14ac:dyDescent="0.35">
      <c r="B9" s="32" t="str">
        <f>Language!$A$854</f>
        <v>Costos típicos del país</v>
      </c>
      <c r="C9" s="27">
        <f>'0) Intro'!C45</f>
        <v>0</v>
      </c>
      <c r="D9" s="27">
        <f>'0) Intro'!D45</f>
        <v>0</v>
      </c>
      <c r="E9" s="86" t="str">
        <f>'4) Resultados'!$U$30</f>
        <v/>
      </c>
      <c r="F9" s="27">
        <f>'0) Intro'!C46</f>
        <v>0</v>
      </c>
      <c r="G9" s="27">
        <f>'0) Intro'!D46</f>
        <v>0</v>
      </c>
      <c r="H9" s="86" t="e">
        <f>'4) Resultados'!$AW$10/'0) Intro'!$F$22</f>
        <v>#DIV/0!</v>
      </c>
      <c r="I9" s="27">
        <f>'0) Intro'!C47</f>
        <v>0</v>
      </c>
      <c r="J9" s="27">
        <f>'0) Intro'!D47</f>
        <v>0</v>
      </c>
      <c r="K9" s="27" t="e">
        <f>'4) Resultados'!$AW$14/'0) Intro'!$F$25</f>
        <v>#DIV/0!</v>
      </c>
      <c r="L9" s="27">
        <f>'0) Intro'!C48</f>
        <v>0</v>
      </c>
      <c r="M9" s="27">
        <f>'0) Intro'!D48</f>
        <v>0</v>
      </c>
      <c r="N9" s="27" t="e">
        <f>'4) Resultados'!$AW$14/'0) Intro'!$F$25</f>
        <v>#DIV/0!</v>
      </c>
      <c r="O9" s="27">
        <f>'0) Intro'!C49</f>
        <v>0</v>
      </c>
      <c r="P9" s="27">
        <f>'0) Intro'!D49</f>
        <v>0</v>
      </c>
      <c r="Q9" s="27" t="e">
        <f>'4) Resultados'!$AW$12/'0) Intro'!$F$23</f>
        <v>#DIV/0!</v>
      </c>
      <c r="R9" s="27">
        <f>'0) Intro'!C50</f>
        <v>0</v>
      </c>
      <c r="S9" s="27">
        <f>'0) Intro'!D50</f>
        <v>0</v>
      </c>
      <c r="T9" s="77"/>
    </row>
    <row r="10" spans="1:26" x14ac:dyDescent="0.35">
      <c r="B10" s="32"/>
      <c r="C10" s="27"/>
      <c r="D10" s="27"/>
      <c r="E10" s="86" t="str">
        <f>'4) Resultados'!$U$30</f>
        <v/>
      </c>
      <c r="F10" s="27"/>
      <c r="G10" s="27"/>
      <c r="H10" s="86" t="e">
        <f>'4) Resultados'!$AW$10/'0) Intro'!$F$22</f>
        <v>#DIV/0!</v>
      </c>
      <c r="I10" s="27"/>
      <c r="J10" s="27"/>
      <c r="K10" s="27" t="e">
        <f>'4) Resultados'!$AW$14/'0) Intro'!$F$25</f>
        <v>#DIV/0!</v>
      </c>
      <c r="L10" s="27"/>
      <c r="M10" s="27"/>
      <c r="N10" s="27" t="e">
        <f>'4) Resultados'!$AW$14/'0) Intro'!$F$25</f>
        <v>#DIV/0!</v>
      </c>
      <c r="O10" s="27"/>
      <c r="P10" s="27"/>
      <c r="Q10" s="27" t="e">
        <f>'4) Resultados'!$AW$12/'0) Intro'!$F$23</f>
        <v>#DIV/0!</v>
      </c>
      <c r="R10" s="27"/>
      <c r="S10" s="27"/>
      <c r="T10" s="77"/>
      <c r="Z10" t="s">
        <v>686</v>
      </c>
    </row>
    <row r="11" spans="1:26" ht="15" thickBot="1" x14ac:dyDescent="0.4">
      <c r="B11" s="2" t="str">
        <f>Language!$A$857</f>
        <v>Caso real actual</v>
      </c>
      <c r="C11" s="74"/>
      <c r="D11" s="74"/>
      <c r="E11" s="74"/>
      <c r="F11" s="74"/>
      <c r="G11" s="74"/>
      <c r="H11" s="74"/>
      <c r="I11" s="74"/>
      <c r="J11" s="74"/>
      <c r="K11" s="74"/>
      <c r="L11" s="74"/>
      <c r="M11" s="74"/>
      <c r="N11" s="74"/>
      <c r="O11" s="74"/>
      <c r="P11" s="74"/>
      <c r="Q11" s="74"/>
      <c r="R11" s="74"/>
      <c r="S11" s="74"/>
      <c r="T11" s="75"/>
    </row>
    <row r="12" spans="1:26" ht="17.25" customHeight="1" thickBot="1" x14ac:dyDescent="0.4">
      <c r="B12" s="30"/>
      <c r="C12" s="30"/>
      <c r="D12" s="30"/>
      <c r="E12" s="30"/>
      <c r="F12" s="30"/>
      <c r="G12" s="30"/>
      <c r="H12" s="30"/>
      <c r="I12" s="30"/>
      <c r="J12" s="30"/>
      <c r="K12" s="30"/>
      <c r="L12" s="30"/>
      <c r="M12" s="30"/>
      <c r="N12" s="30"/>
      <c r="O12" s="30"/>
      <c r="P12" s="30"/>
      <c r="Q12" s="30"/>
      <c r="R12" s="30"/>
      <c r="S12" s="30"/>
      <c r="T12" s="30"/>
    </row>
    <row r="13" spans="1:26" x14ac:dyDescent="0.35">
      <c r="B13" s="145" t="str">
        <f>Language!$A$848</f>
        <v>Grupo de ingresos</v>
      </c>
      <c r="C13" s="1121" t="str">
        <f>Language!$A$858</f>
        <v>Barrido/Limpieza urbana [$$$/ton]</v>
      </c>
      <c r="D13" s="1121"/>
      <c r="E13" s="1121"/>
      <c r="F13" s="1121" t="str">
        <f>Language!$A$859</f>
        <v>Recolección y transporte [$$$/ton]</v>
      </c>
      <c r="G13" s="1121"/>
      <c r="H13" s="1121"/>
      <c r="I13" s="1121" t="str">
        <f>Language!$A$860</f>
        <v>Botadero [$$$/ton]</v>
      </c>
      <c r="J13" s="1121"/>
      <c r="K13" s="1121"/>
      <c r="L13" s="1121" t="str">
        <f>Language!$A$861</f>
        <v>Relleno sanitario [B$$$/ton]</v>
      </c>
      <c r="M13" s="1121"/>
      <c r="N13" s="1121"/>
      <c r="O13" s="1121" t="str">
        <f>Language!$A$862</f>
        <v>Compostaje [$$$/ton]</v>
      </c>
      <c r="P13" s="1121"/>
      <c r="Q13" s="1121"/>
      <c r="R13" s="1121" t="str">
        <f>Language!$A$863</f>
        <v>Incineración [$$$/ton]</v>
      </c>
      <c r="S13" s="1121"/>
      <c r="T13" s="1122"/>
    </row>
    <row r="14" spans="1:26" x14ac:dyDescent="0.35">
      <c r="B14" s="32"/>
      <c r="C14" s="146"/>
      <c r="D14" s="146"/>
      <c r="E14" s="86" t="str">
        <f>'4) Resultados'!$U$30</f>
        <v/>
      </c>
      <c r="F14" s="146"/>
      <c r="G14" s="146"/>
      <c r="H14" s="86" t="e">
        <f>'4) Resultados'!$AW$10/'0) Intro'!$F$22</f>
        <v>#DIV/0!</v>
      </c>
      <c r="I14" s="146"/>
      <c r="J14" s="146"/>
      <c r="K14" s="27" t="e">
        <f>'4) Resultados'!$AW$14/'0) Intro'!$F$25</f>
        <v>#DIV/0!</v>
      </c>
      <c r="L14" s="146"/>
      <c r="M14" s="146"/>
      <c r="N14" s="27" t="e">
        <f>'4) Resultados'!$AW$14/'0) Intro'!$F$25</f>
        <v>#DIV/0!</v>
      </c>
      <c r="O14" s="146"/>
      <c r="P14" s="146"/>
      <c r="Q14" s="27" t="e">
        <f>'4) Resultados'!$AW$12/'0) Intro'!$F$23</f>
        <v>#DIV/0!</v>
      </c>
      <c r="R14" s="146"/>
      <c r="S14" s="146"/>
      <c r="T14" s="147"/>
    </row>
    <row r="15" spans="1:26" x14ac:dyDescent="0.35">
      <c r="B15" s="32" t="str">
        <f>Language!$A$849</f>
        <v>País de ingreso bajo</v>
      </c>
      <c r="C15" s="27" t="str">
        <f>C5</f>
        <v>na</v>
      </c>
      <c r="D15" s="27" t="s">
        <v>1356</v>
      </c>
      <c r="E15" s="86" t="str">
        <f>'4) Resultados'!$U$30</f>
        <v/>
      </c>
      <c r="F15" s="27">
        <f>F5</f>
        <v>20</v>
      </c>
      <c r="G15" s="27">
        <f>G5-F5</f>
        <v>30</v>
      </c>
      <c r="H15" s="86" t="e">
        <f>'4) Resultados'!$AW$10/'0) Intro'!$F$22</f>
        <v>#DIV/0!</v>
      </c>
      <c r="I15" s="27">
        <f>I5</f>
        <v>2</v>
      </c>
      <c r="J15" s="27">
        <f>J5-I5</f>
        <v>6</v>
      </c>
      <c r="K15" s="27" t="e">
        <f>'4) Resultados'!$AW$14/'0) Intro'!$F$25</f>
        <v>#DIV/0!</v>
      </c>
      <c r="L15" s="27">
        <f>L5</f>
        <v>10</v>
      </c>
      <c r="M15" s="27">
        <f>M5-L5</f>
        <v>20</v>
      </c>
      <c r="N15" s="27" t="e">
        <f>'4) Resultados'!$AW$14/'0) Intro'!$F$25</f>
        <v>#DIV/0!</v>
      </c>
      <c r="O15" s="27">
        <f>O5</f>
        <v>5</v>
      </c>
      <c r="P15" s="27">
        <f>P5-O5</f>
        <v>25</v>
      </c>
      <c r="Q15" s="27" t="e">
        <f>'4) Resultados'!$AW$12/'0) Intro'!$F$23</f>
        <v>#DIV/0!</v>
      </c>
      <c r="R15" s="27" t="str">
        <f>R5</f>
        <v>na</v>
      </c>
      <c r="S15" s="27" t="str">
        <f>S5</f>
        <v>na</v>
      </c>
      <c r="T15" s="77"/>
    </row>
    <row r="16" spans="1:26" x14ac:dyDescent="0.35">
      <c r="B16" s="32" t="str">
        <f>Language!$A$850</f>
        <v>País de ingreso mediano bajo</v>
      </c>
      <c r="C16" s="27" t="str">
        <f t="shared" ref="C16:C19" si="0">C6</f>
        <v>na</v>
      </c>
      <c r="D16" s="27" t="s">
        <v>1356</v>
      </c>
      <c r="E16" s="86" t="str">
        <f>'4) Resultados'!$U$30</f>
        <v/>
      </c>
      <c r="F16" s="27">
        <f t="shared" ref="F16:F19" si="1">F6</f>
        <v>30</v>
      </c>
      <c r="G16" s="27">
        <f t="shared" ref="G16:G19" si="2">G6-F6</f>
        <v>45</v>
      </c>
      <c r="H16" s="86" t="e">
        <f>'4) Resultados'!$AW$10/'0) Intro'!$F$22</f>
        <v>#DIV/0!</v>
      </c>
      <c r="I16" s="27">
        <f t="shared" ref="I16:I19" si="3">I6</f>
        <v>3</v>
      </c>
      <c r="J16" s="27">
        <f t="shared" ref="J16:J19" si="4">J6-I6</f>
        <v>7</v>
      </c>
      <c r="K16" s="27" t="e">
        <f>'4) Resultados'!$AW$14/'0) Intro'!$F$25</f>
        <v>#DIV/0!</v>
      </c>
      <c r="L16" s="27">
        <f t="shared" ref="L16:L19" si="5">L6</f>
        <v>15</v>
      </c>
      <c r="M16" s="27">
        <f t="shared" ref="M16:M19" si="6">M6-L6</f>
        <v>25</v>
      </c>
      <c r="N16" s="27" t="e">
        <f>'4) Resultados'!$AW$14/'0) Intro'!$F$25</f>
        <v>#DIV/0!</v>
      </c>
      <c r="O16" s="27">
        <f t="shared" ref="O16:O19" si="7">O6</f>
        <v>10</v>
      </c>
      <c r="P16" s="27">
        <f t="shared" ref="P16:P19" si="8">P6-O6</f>
        <v>30</v>
      </c>
      <c r="Q16" s="27" t="e">
        <f>'4) Resultados'!$AW$12/'0) Intro'!$F$23</f>
        <v>#DIV/0!</v>
      </c>
      <c r="R16" s="27">
        <f t="shared" ref="R16:R19" si="9">R6</f>
        <v>40</v>
      </c>
      <c r="S16" s="27">
        <f t="shared" ref="S16:S19" si="10">S6-R6</f>
        <v>60</v>
      </c>
      <c r="T16" s="77"/>
    </row>
    <row r="17" spans="2:20" x14ac:dyDescent="0.35">
      <c r="B17" s="32" t="str">
        <f>Language!$A$851</f>
        <v>País de ingreso mediano alto</v>
      </c>
      <c r="C17" s="27" t="str">
        <f t="shared" si="0"/>
        <v>na</v>
      </c>
      <c r="D17" s="27" t="s">
        <v>1356</v>
      </c>
      <c r="E17" s="86" t="str">
        <f>'4) Resultados'!$U$30</f>
        <v/>
      </c>
      <c r="F17" s="27">
        <f t="shared" si="1"/>
        <v>40</v>
      </c>
      <c r="G17" s="27">
        <f t="shared" si="2"/>
        <v>50</v>
      </c>
      <c r="H17" s="86" t="e">
        <f>'4) Resultados'!$AW$10/'0) Intro'!$F$22</f>
        <v>#DIV/0!</v>
      </c>
      <c r="I17" s="27" t="str">
        <f t="shared" si="3"/>
        <v>na</v>
      </c>
      <c r="J17" s="27" t="s">
        <v>1356</v>
      </c>
      <c r="K17" s="27" t="e">
        <f>'4) Resultados'!$AW$14/'0) Intro'!$F$25</f>
        <v>#DIV/0!</v>
      </c>
      <c r="L17" s="27">
        <f t="shared" si="5"/>
        <v>25</v>
      </c>
      <c r="M17" s="27">
        <f t="shared" si="6"/>
        <v>50</v>
      </c>
      <c r="N17" s="27" t="e">
        <f>'4) Resultados'!$AW$14/'0) Intro'!$F$25</f>
        <v>#DIV/0!</v>
      </c>
      <c r="O17" s="27">
        <f t="shared" si="7"/>
        <v>20</v>
      </c>
      <c r="P17" s="27">
        <f t="shared" si="8"/>
        <v>55</v>
      </c>
      <c r="Q17" s="27" t="e">
        <f>'4) Resultados'!$AW$12/'0) Intro'!$F$23</f>
        <v>#DIV/0!</v>
      </c>
      <c r="R17" s="27">
        <f t="shared" si="9"/>
        <v>60</v>
      </c>
      <c r="S17" s="27">
        <f t="shared" si="10"/>
        <v>90</v>
      </c>
      <c r="T17" s="77"/>
    </row>
    <row r="18" spans="2:20" x14ac:dyDescent="0.35">
      <c r="B18" s="32" t="str">
        <f>Language!$A$852</f>
        <v>País de ingreso alto</v>
      </c>
      <c r="C18" s="27" t="str">
        <f t="shared" si="0"/>
        <v>na</v>
      </c>
      <c r="D18" s="27" t="s">
        <v>1356</v>
      </c>
      <c r="E18" s="86" t="str">
        <f>'4) Resultados'!$U$30</f>
        <v/>
      </c>
      <c r="F18" s="27">
        <f t="shared" si="1"/>
        <v>85</v>
      </c>
      <c r="G18" s="27">
        <f t="shared" si="2"/>
        <v>165</v>
      </c>
      <c r="H18" s="86" t="e">
        <f>'4) Resultados'!$AW$10/'0) Intro'!$F$22</f>
        <v>#DIV/0!</v>
      </c>
      <c r="I18" s="27" t="str">
        <f t="shared" si="3"/>
        <v>na</v>
      </c>
      <c r="J18" s="27" t="s">
        <v>1356</v>
      </c>
      <c r="K18" s="27" t="e">
        <f>'4) Resultados'!$AW$14/'0) Intro'!$F$25</f>
        <v>#DIV/0!</v>
      </c>
      <c r="L18" s="27">
        <f t="shared" si="5"/>
        <v>40</v>
      </c>
      <c r="M18" s="27">
        <f t="shared" si="6"/>
        <v>60</v>
      </c>
      <c r="N18" s="27" t="e">
        <f>'4) Resultados'!$AW$14/'0) Intro'!$F$25</f>
        <v>#DIV/0!</v>
      </c>
      <c r="O18" s="27">
        <f t="shared" si="7"/>
        <v>35</v>
      </c>
      <c r="P18" s="27">
        <f t="shared" si="8"/>
        <v>55</v>
      </c>
      <c r="Q18" s="27" t="e">
        <f>'4) Resultados'!$AW$12/'0) Intro'!$F$23</f>
        <v>#DIV/0!</v>
      </c>
      <c r="R18" s="27">
        <f t="shared" si="9"/>
        <v>70</v>
      </c>
      <c r="S18" s="27">
        <f t="shared" si="10"/>
        <v>130</v>
      </c>
      <c r="T18" s="77"/>
    </row>
    <row r="19" spans="2:20" x14ac:dyDescent="0.35">
      <c r="B19" s="32" t="str">
        <f>Language!$A$854</f>
        <v>Costos típicos del país</v>
      </c>
      <c r="C19" s="27">
        <f t="shared" si="0"/>
        <v>0</v>
      </c>
      <c r="D19" s="27">
        <f t="shared" ref="D19" si="11">D9-C9</f>
        <v>0</v>
      </c>
      <c r="E19" s="86" t="str">
        <f>'4) Resultados'!$U$30</f>
        <v/>
      </c>
      <c r="F19" s="27">
        <f t="shared" si="1"/>
        <v>0</v>
      </c>
      <c r="G19" s="27">
        <f t="shared" si="2"/>
        <v>0</v>
      </c>
      <c r="H19" s="86" t="e">
        <f>'4) Resultados'!$AW$10/'0) Intro'!$F$22</f>
        <v>#DIV/0!</v>
      </c>
      <c r="I19" s="27">
        <f t="shared" si="3"/>
        <v>0</v>
      </c>
      <c r="J19" s="27">
        <f t="shared" si="4"/>
        <v>0</v>
      </c>
      <c r="K19" s="27" t="e">
        <f>'4) Resultados'!$AW$14/'0) Intro'!$F$25</f>
        <v>#DIV/0!</v>
      </c>
      <c r="L19" s="27">
        <f t="shared" si="5"/>
        <v>0</v>
      </c>
      <c r="M19" s="27">
        <f t="shared" si="6"/>
        <v>0</v>
      </c>
      <c r="N19" s="27" t="e">
        <f>'4) Resultados'!$AW$14/'0) Intro'!$F$25</f>
        <v>#DIV/0!</v>
      </c>
      <c r="O19" s="27">
        <f t="shared" si="7"/>
        <v>0</v>
      </c>
      <c r="P19" s="27">
        <f t="shared" si="8"/>
        <v>0</v>
      </c>
      <c r="Q19" s="27" t="e">
        <f>'4) Resultados'!$AW$12/'0) Intro'!$F$23</f>
        <v>#DIV/0!</v>
      </c>
      <c r="R19" s="27">
        <f t="shared" si="9"/>
        <v>0</v>
      </c>
      <c r="S19" s="27">
        <f t="shared" si="10"/>
        <v>0</v>
      </c>
      <c r="T19" s="77"/>
    </row>
    <row r="20" spans="2:20" x14ac:dyDescent="0.35">
      <c r="B20" s="32"/>
      <c r="C20" s="27"/>
      <c r="D20" s="27"/>
      <c r="E20" s="86" t="str">
        <f>'4) Resultados'!$U$30</f>
        <v/>
      </c>
      <c r="F20" s="27"/>
      <c r="G20" s="27"/>
      <c r="H20" s="86" t="e">
        <f>'4) Resultados'!$AW$10/'0) Intro'!$F$22</f>
        <v>#DIV/0!</v>
      </c>
      <c r="I20" s="27"/>
      <c r="J20" s="27"/>
      <c r="K20" s="27" t="e">
        <f>'4) Resultados'!$AW$14/'0) Intro'!$F$25</f>
        <v>#DIV/0!</v>
      </c>
      <c r="L20" s="27"/>
      <c r="M20" s="27"/>
      <c r="N20" s="27" t="e">
        <f>'4) Resultados'!$AW$14/'0) Intro'!$F$25</f>
        <v>#DIV/0!</v>
      </c>
      <c r="O20" s="27"/>
      <c r="P20" s="27"/>
      <c r="Q20" s="27" t="e">
        <f>'4) Resultados'!$AW$12/'0) Intro'!$F$23</f>
        <v>#DIV/0!</v>
      </c>
      <c r="R20" s="27"/>
      <c r="S20" s="27"/>
      <c r="T20" s="77"/>
    </row>
    <row r="21" spans="2:20" ht="15" thickBot="1" x14ac:dyDescent="0.4">
      <c r="B21" s="2" t="str">
        <f>Language!$A$857</f>
        <v>Caso real actual</v>
      </c>
      <c r="C21" s="74"/>
      <c r="D21" s="74"/>
      <c r="E21" s="74"/>
      <c r="F21" s="74"/>
      <c r="G21" s="74"/>
      <c r="H21" s="74"/>
      <c r="I21" s="74"/>
      <c r="J21" s="74"/>
      <c r="K21" s="74"/>
      <c r="L21" s="74"/>
      <c r="M21" s="74"/>
      <c r="N21" s="74"/>
      <c r="O21" s="74"/>
      <c r="P21" s="74"/>
      <c r="Q21" s="74"/>
      <c r="R21" s="74"/>
      <c r="S21" s="74"/>
      <c r="T21" s="75"/>
    </row>
    <row r="22" spans="2:20" x14ac:dyDescent="0.35">
      <c r="B22" s="30"/>
      <c r="C22" s="30"/>
      <c r="D22" s="30"/>
      <c r="E22" s="30"/>
      <c r="F22" s="30"/>
      <c r="G22" s="30"/>
      <c r="H22" s="30"/>
      <c r="I22" s="30"/>
      <c r="J22" s="30"/>
      <c r="K22" s="30"/>
      <c r="L22" s="30"/>
      <c r="M22" s="30"/>
      <c r="N22" s="30"/>
      <c r="O22" s="30"/>
      <c r="P22" s="30"/>
      <c r="Q22" s="30"/>
      <c r="R22" s="30"/>
      <c r="S22" s="30"/>
      <c r="T22" s="30"/>
    </row>
    <row r="23" spans="2:20" x14ac:dyDescent="0.35">
      <c r="B23" s="30"/>
      <c r="C23" s="30"/>
      <c r="D23" s="30"/>
      <c r="E23" s="30"/>
      <c r="F23" s="30"/>
      <c r="G23" s="30"/>
      <c r="H23" s="30"/>
      <c r="I23" s="30"/>
      <c r="J23" s="30"/>
      <c r="K23" s="30"/>
      <c r="L23" s="30"/>
      <c r="M23" s="30"/>
      <c r="N23" s="30"/>
      <c r="O23" s="30"/>
      <c r="P23" s="30"/>
      <c r="Q23" s="30"/>
      <c r="R23" s="30"/>
      <c r="S23" s="30"/>
      <c r="T23" s="30"/>
    </row>
    <row r="24" spans="2:20" x14ac:dyDescent="0.35">
      <c r="B24" s="30"/>
      <c r="C24" s="30"/>
      <c r="D24" s="30"/>
      <c r="E24" s="30"/>
      <c r="F24" s="30"/>
      <c r="G24" s="30"/>
      <c r="H24" s="30"/>
      <c r="I24" s="30"/>
      <c r="J24" s="30"/>
      <c r="K24" s="30"/>
      <c r="L24" s="30"/>
      <c r="M24" s="30"/>
      <c r="N24" s="30"/>
      <c r="O24" s="30"/>
      <c r="P24" s="30"/>
      <c r="Q24" s="30"/>
      <c r="R24" s="30"/>
      <c r="S24" s="30"/>
      <c r="T24" s="30"/>
    </row>
    <row r="25" spans="2:20" x14ac:dyDescent="0.35">
      <c r="B25" s="30"/>
      <c r="C25" s="30"/>
      <c r="D25" s="30"/>
      <c r="E25" s="30"/>
      <c r="F25" s="30"/>
      <c r="G25" s="30"/>
      <c r="H25" s="30"/>
      <c r="I25" s="30"/>
      <c r="J25" s="30"/>
      <c r="K25" s="30"/>
      <c r="L25" s="30"/>
      <c r="M25" s="30"/>
      <c r="N25" s="30"/>
      <c r="O25" s="30"/>
      <c r="P25" s="30"/>
      <c r="Q25" s="30"/>
      <c r="R25" s="30"/>
      <c r="S25" s="30"/>
      <c r="T25" s="30"/>
    </row>
    <row r="26" spans="2:20" x14ac:dyDescent="0.35">
      <c r="B26" s="30"/>
      <c r="C26" s="30"/>
      <c r="D26" s="30"/>
      <c r="E26" s="30"/>
      <c r="F26" s="30"/>
      <c r="G26" s="30"/>
      <c r="H26" s="30"/>
      <c r="I26" s="30"/>
      <c r="J26" s="30"/>
      <c r="K26" s="30"/>
      <c r="L26" s="30"/>
      <c r="M26" s="30"/>
      <c r="N26" s="30"/>
      <c r="O26" s="30"/>
      <c r="P26" s="30"/>
      <c r="Q26" s="30"/>
      <c r="R26" s="30"/>
      <c r="S26" s="30"/>
      <c r="T26" s="30"/>
    </row>
    <row r="27" spans="2:20" x14ac:dyDescent="0.35">
      <c r="B27" s="30"/>
      <c r="C27" s="30"/>
      <c r="D27" s="30"/>
      <c r="E27" s="30"/>
      <c r="F27" s="30"/>
      <c r="G27" s="30"/>
      <c r="H27" s="30"/>
      <c r="I27" s="30"/>
      <c r="J27" s="30"/>
      <c r="K27" s="30"/>
      <c r="L27" s="30"/>
      <c r="M27" s="30"/>
      <c r="N27" s="30"/>
      <c r="O27" s="30"/>
      <c r="P27" s="30"/>
      <c r="Q27" s="30"/>
      <c r="R27" s="30"/>
      <c r="S27" s="30"/>
      <c r="T27" s="30"/>
    </row>
    <row r="28" spans="2:20" x14ac:dyDescent="0.35">
      <c r="B28" s="30"/>
      <c r="C28" s="30"/>
      <c r="D28" s="30"/>
      <c r="E28" s="30"/>
      <c r="F28" s="30"/>
      <c r="G28" s="30"/>
      <c r="H28" s="30"/>
      <c r="I28" s="30"/>
      <c r="J28" s="30"/>
      <c r="K28" s="30"/>
      <c r="L28" s="30"/>
      <c r="M28" s="30"/>
      <c r="N28" s="30"/>
      <c r="O28" s="30"/>
      <c r="P28" s="30"/>
      <c r="Q28" s="30"/>
      <c r="R28" s="30"/>
      <c r="S28" s="30"/>
      <c r="T28" s="30"/>
    </row>
    <row r="29" spans="2:20" x14ac:dyDescent="0.35">
      <c r="B29" s="30"/>
      <c r="C29" s="30"/>
      <c r="D29" s="30"/>
      <c r="E29" s="30"/>
      <c r="F29" s="30"/>
      <c r="G29" s="30"/>
      <c r="H29" s="30"/>
      <c r="I29" s="30"/>
      <c r="J29" s="30"/>
      <c r="K29" s="30"/>
      <c r="L29" s="30"/>
      <c r="M29" s="30"/>
      <c r="N29" s="30"/>
      <c r="O29" s="30"/>
      <c r="P29" s="30"/>
      <c r="Q29" s="30"/>
      <c r="R29" s="30"/>
      <c r="S29" s="30"/>
      <c r="T29" s="30"/>
    </row>
    <row r="30" spans="2:20" x14ac:dyDescent="0.35">
      <c r="B30" s="30"/>
      <c r="C30" s="30"/>
      <c r="D30" s="30"/>
      <c r="E30" s="30"/>
      <c r="F30" s="30"/>
      <c r="G30" s="30"/>
      <c r="H30" s="30"/>
      <c r="I30" s="30"/>
      <c r="J30" s="30"/>
      <c r="K30" s="30"/>
      <c r="L30" s="30"/>
      <c r="M30" s="30"/>
      <c r="N30" s="30"/>
      <c r="O30" s="30"/>
      <c r="P30" s="30"/>
      <c r="Q30" s="30"/>
      <c r="R30" s="30"/>
      <c r="S30" s="30"/>
      <c r="T30" s="30"/>
    </row>
    <row r="31" spans="2:20" hidden="1" x14ac:dyDescent="0.35">
      <c r="S31" t="s">
        <v>686</v>
      </c>
    </row>
    <row r="32" spans="2:20" s="30" customFormat="1" x14ac:dyDescent="0.35"/>
    <row r="33" s="30" customFormat="1" x14ac:dyDescent="0.35"/>
  </sheetData>
  <mergeCells count="12">
    <mergeCell ref="C3:E3"/>
    <mergeCell ref="C13:E13"/>
    <mergeCell ref="F3:H3"/>
    <mergeCell ref="I3:K3"/>
    <mergeCell ref="L3:N3"/>
    <mergeCell ref="R3:T3"/>
    <mergeCell ref="F13:H13"/>
    <mergeCell ref="I13:K13"/>
    <mergeCell ref="L13:N13"/>
    <mergeCell ref="O13:Q13"/>
    <mergeCell ref="R13:T13"/>
    <mergeCell ref="O3:Q3"/>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49"/>
  <sheetViews>
    <sheetView topLeftCell="E16" zoomScale="70" zoomScaleNormal="70" workbookViewId="0">
      <selection activeCell="K45" sqref="K45"/>
    </sheetView>
  </sheetViews>
  <sheetFormatPr defaultRowHeight="14.5" x14ac:dyDescent="0.35"/>
  <cols>
    <col min="2" max="2" width="69.453125" bestFit="1" customWidth="1"/>
    <col min="3" max="3" width="4.54296875" bestFit="1" customWidth="1"/>
    <col min="6" max="6" width="32.54296875" bestFit="1" customWidth="1"/>
    <col min="7" max="7" width="11.26953125" bestFit="1" customWidth="1"/>
    <col min="9" max="9" width="19.453125" bestFit="1" customWidth="1"/>
    <col min="10" max="10" width="42.1796875" bestFit="1" customWidth="1"/>
    <col min="11" max="11" width="17.54296875" bestFit="1" customWidth="1"/>
    <col min="12" max="12" width="22.7265625" bestFit="1" customWidth="1"/>
    <col min="13" max="13" width="19.54296875" bestFit="1" customWidth="1"/>
    <col min="14" max="14" width="22.7265625" bestFit="1" customWidth="1"/>
    <col min="15" max="15" width="19.54296875" bestFit="1" customWidth="1"/>
    <col min="16" max="16" width="22.7265625" bestFit="1" customWidth="1"/>
    <col min="17" max="17" width="19.54296875" bestFit="1" customWidth="1"/>
    <col min="18" max="18" width="22.7265625" bestFit="1" customWidth="1"/>
    <col min="19" max="19" width="19.54296875" bestFit="1" customWidth="1"/>
    <col min="22" max="22" width="10.54296875" bestFit="1" customWidth="1"/>
  </cols>
  <sheetData>
    <row r="1" spans="2:7" ht="15" thickBot="1" x14ac:dyDescent="0.4"/>
    <row r="2" spans="2:7" x14ac:dyDescent="0.35">
      <c r="B2" s="164" t="str">
        <f>Language!A129</f>
        <v>Fracciones de residuos sólidos gestionadas y no gestionadas de total generado</v>
      </c>
      <c r="C2" s="153"/>
    </row>
    <row r="3" spans="2:7" x14ac:dyDescent="0.35">
      <c r="B3" s="162" t="str">
        <f>Language!A130</f>
        <v>Recolectados: aprovechados</v>
      </c>
      <c r="C3" s="159" t="e">
        <f>'4) Resultados'!C40*'4) Resultados'!C39*'4) Resultados'!C38</f>
        <v>#VALUE!</v>
      </c>
    </row>
    <row r="4" spans="2:7" x14ac:dyDescent="0.35">
      <c r="B4" s="162" t="str">
        <f>Language!A131</f>
        <v>Recolectados: dispuestos de forma segura</v>
      </c>
      <c r="C4" s="159" t="e">
        <f>'4) Resultados'!C43*'4) Resultados'!C39*'4) Resultados'!C38</f>
        <v>#VALUE!</v>
      </c>
    </row>
    <row r="5" spans="2:7" x14ac:dyDescent="0.35">
      <c r="B5" s="162" t="str">
        <f>Language!A132</f>
        <v>Recolectados: no gestionados de forma segura</v>
      </c>
      <c r="C5" s="159" t="str">
        <f>'4) Resultados'!G44</f>
        <v/>
      </c>
    </row>
    <row r="6" spans="2:7" x14ac:dyDescent="0.35">
      <c r="B6" s="162" t="str">
        <f>Language!A133</f>
        <v>No recolectados: dentro de la zona de cobertura</v>
      </c>
      <c r="C6" s="159" t="str">
        <f>'4) Resultados'!G39</f>
        <v/>
      </c>
    </row>
    <row r="7" spans="2:7" ht="15" thickBot="1" x14ac:dyDescent="0.4">
      <c r="B7" s="163" t="str">
        <f>Language!A134</f>
        <v>No recolectados: fuera de la zona de cobertura</v>
      </c>
      <c r="C7" s="161" t="str">
        <f>'4) Resultados'!G38</f>
        <v/>
      </c>
    </row>
    <row r="8" spans="2:7" ht="15" thickBot="1" x14ac:dyDescent="0.4"/>
    <row r="9" spans="2:7" x14ac:dyDescent="0.35">
      <c r="E9" s="1126" t="str">
        <f>'4) Resultados'!S7</f>
        <v>Resumen de costos e ingresos [$$$/año]</v>
      </c>
      <c r="F9" s="1127"/>
      <c r="G9" s="153"/>
    </row>
    <row r="10" spans="2:7" x14ac:dyDescent="0.35">
      <c r="E10" s="158"/>
      <c r="F10" s="165" t="str">
        <f>'4) Resultados'!S19</f>
        <v>Costo anual total [$$$/año]</v>
      </c>
      <c r="G10" s="154">
        <f>'4) Resultados'!U19</f>
        <v>21120000</v>
      </c>
    </row>
    <row r="11" spans="2:7" x14ac:dyDescent="0.35">
      <c r="E11" s="158"/>
      <c r="F11" s="165" t="str">
        <f>'0) Intro'!B10</f>
        <v>Presupuesto anual [$$$/año]</v>
      </c>
      <c r="G11" s="155">
        <f>'4) Resultados'!U22</f>
        <v>0</v>
      </c>
    </row>
    <row r="12" spans="2:7" ht="15" thickBot="1" x14ac:dyDescent="0.4">
      <c r="E12" s="160"/>
      <c r="F12" s="166" t="str">
        <f>'4) Resultados'!S24</f>
        <v>Cobrado anualmente [$$$/año]</v>
      </c>
      <c r="G12" s="156">
        <f>'4) Resultados'!U24</f>
        <v>10000000</v>
      </c>
    </row>
    <row r="13" spans="2:7" ht="15" thickBot="1" x14ac:dyDescent="0.4">
      <c r="E13" s="30"/>
      <c r="F13" s="30"/>
      <c r="G13" s="30"/>
    </row>
    <row r="14" spans="2:7" x14ac:dyDescent="0.35">
      <c r="E14" s="157"/>
      <c r="F14" s="167" t="str">
        <f>Language!A126</f>
        <v>Resumen de costos</v>
      </c>
      <c r="G14" s="153"/>
    </row>
    <row r="15" spans="2:7" x14ac:dyDescent="0.35">
      <c r="E15" s="158"/>
      <c r="F15" s="165" t="str">
        <f>'4) Resultados'!S8</f>
        <v>Prestación del servicio</v>
      </c>
      <c r="G15" s="154">
        <f>'4) Resultados'!U8</f>
        <v>17000000</v>
      </c>
    </row>
    <row r="16" spans="2:7" x14ac:dyDescent="0.35">
      <c r="E16" s="158"/>
      <c r="F16" s="165" t="str">
        <f>'4) Resultados'!S16</f>
        <v>Administración del servicio</v>
      </c>
      <c r="G16" s="154">
        <f>'4) Resultados'!U16</f>
        <v>1000000</v>
      </c>
    </row>
    <row r="17" spans="5:19" x14ac:dyDescent="0.35">
      <c r="E17" s="158"/>
      <c r="F17" s="165" t="str">
        <f>'4) Resultados'!S17</f>
        <v>Planificación y fiscalización del servicio</v>
      </c>
      <c r="G17" s="154">
        <f>'4) Resultados'!U17</f>
        <v>1200000</v>
      </c>
    </row>
    <row r="18" spans="5:19" ht="15" thickBot="1" x14ac:dyDescent="0.4">
      <c r="E18" s="160"/>
      <c r="F18" s="166" t="str">
        <f>'4) Resultados'!S18</f>
        <v>Educación y comunicación</v>
      </c>
      <c r="G18" s="168">
        <f>'4) Resultados'!U18</f>
        <v>1920000</v>
      </c>
    </row>
    <row r="19" spans="5:19" ht="15" thickBot="1" x14ac:dyDescent="0.4"/>
    <row r="20" spans="5:19" x14ac:dyDescent="0.35">
      <c r="I20" s="171" t="s">
        <v>300</v>
      </c>
      <c r="J20" s="172"/>
      <c r="K20" s="1130" t="str">
        <f>'4) Resultados'!AW7</f>
        <v>Caso real actual</v>
      </c>
      <c r="L20" s="1128" t="str">
        <f>'4) Resultados'!AY7</f>
        <v>Recolección por acera</v>
      </c>
      <c r="M20" s="1128"/>
      <c r="N20" s="1128" t="str">
        <f>'4) Resultados'!BC7</f>
        <v>Recolección por esquina</v>
      </c>
      <c r="O20" s="1128"/>
      <c r="P20" s="1128" t="str">
        <f>'4) Resultados'!BG7</f>
        <v>Recolección con contenedores</v>
      </c>
      <c r="Q20" s="1128"/>
      <c r="R20" s="1128" t="str">
        <f>'4) Resultados'!BK7</f>
        <v>Recolección diferenciada con contenedores</v>
      </c>
      <c r="S20" s="1129"/>
    </row>
    <row r="21" spans="5:19" x14ac:dyDescent="0.35">
      <c r="I21" s="173"/>
      <c r="J21" s="169"/>
      <c r="K21" s="1131"/>
      <c r="L21" s="169" t="str">
        <f>'4) Resultados'!AY8</f>
        <v>Sin estación de transferencia</v>
      </c>
      <c r="M21" s="169" t="str">
        <f>'4) Resultados'!BA8</f>
        <v>Con estación de transferencia</v>
      </c>
      <c r="N21" s="169" t="str">
        <f>'4) Resultados'!BC8</f>
        <v>Sin estación de transferencia</v>
      </c>
      <c r="O21" s="169" t="str">
        <f>'4) Resultados'!BE8</f>
        <v>Con estación de transferencia</v>
      </c>
      <c r="P21" s="169" t="str">
        <f>'4) Resultados'!BG8</f>
        <v>Sin estación de transferencia</v>
      </c>
      <c r="Q21" s="169" t="str">
        <f>'4) Resultados'!BI8</f>
        <v>Con estación de transferencia</v>
      </c>
      <c r="R21" s="169" t="str">
        <f>'4) Resultados'!BK8</f>
        <v>Sin estación de transferencia</v>
      </c>
      <c r="S21" s="174" t="str">
        <f>'4) Resultados'!BM8</f>
        <v>Con estación de transferencia</v>
      </c>
    </row>
    <row r="22" spans="5:19" x14ac:dyDescent="0.35">
      <c r="I22" s="173"/>
      <c r="J22" s="169" t="str">
        <f>'4) Resultados'!AV9</f>
        <v>Servicio de barrido/limpieza urbana</v>
      </c>
      <c r="K22" s="170">
        <f>'4) Resultados'!AW9</f>
        <v>1000000</v>
      </c>
      <c r="L22" s="170">
        <f>'4) Resultados'!AY9</f>
        <v>0</v>
      </c>
      <c r="M22" s="170">
        <f>'4) Resultados'!BA9</f>
        <v>0</v>
      </c>
      <c r="N22" s="170">
        <f>'4) Resultados'!BC9</f>
        <v>0</v>
      </c>
      <c r="O22" s="170">
        <f>'4) Resultados'!BE9</f>
        <v>0</v>
      </c>
      <c r="P22" s="170">
        <f>'4) Resultados'!BG9</f>
        <v>0</v>
      </c>
      <c r="Q22" s="170">
        <f>'4) Resultados'!BI9</f>
        <v>0</v>
      </c>
      <c r="R22" s="170">
        <f>'4) Resultados'!BK9</f>
        <v>0</v>
      </c>
      <c r="S22" s="175">
        <f>'4) Resultados'!BM9</f>
        <v>0</v>
      </c>
    </row>
    <row r="23" spans="5:19" x14ac:dyDescent="0.35">
      <c r="I23" s="173"/>
      <c r="J23" s="169" t="str">
        <f>'4) Resultados'!AV10</f>
        <v>Servicio de recolección y transporte</v>
      </c>
      <c r="K23" s="170">
        <f>'4) Resultados'!AW10</f>
        <v>5000000</v>
      </c>
      <c r="L23" s="170" t="str">
        <f>'4) Resultados'!AY10</f>
        <v/>
      </c>
      <c r="M23" s="170" t="str">
        <f>'4) Resultados'!BA10</f>
        <v/>
      </c>
      <c r="N23" s="170" t="str">
        <f>'4) Resultados'!BC10</f>
        <v/>
      </c>
      <c r="O23" s="170" t="str">
        <f>'4) Resultados'!BE10</f>
        <v/>
      </c>
      <c r="P23" s="170" t="str">
        <f>'4) Resultados'!BG10</f>
        <v/>
      </c>
      <c r="Q23" s="170" t="str">
        <f>'4) Resultados'!BI10</f>
        <v/>
      </c>
      <c r="R23" s="170" t="str">
        <f>'4) Resultados'!BK10</f>
        <v/>
      </c>
      <c r="S23" s="175" t="str">
        <f>'4) Resultados'!BM10</f>
        <v/>
      </c>
    </row>
    <row r="24" spans="5:19" x14ac:dyDescent="0.35">
      <c r="I24" s="173"/>
      <c r="J24" s="169" t="str">
        <f>'4) Resultados'!AV11</f>
        <v xml:space="preserve">Planta de reciclaje </v>
      </c>
      <c r="K24" s="170">
        <f>'4) Resultados'!AW11</f>
        <v>2000000</v>
      </c>
      <c r="L24" s="170">
        <f>'4) Resultados'!AY11</f>
        <v>0</v>
      </c>
      <c r="M24" s="170">
        <f>'4) Resultados'!BA11</f>
        <v>0</v>
      </c>
      <c r="N24" s="170">
        <f>'4) Resultados'!BC11</f>
        <v>0</v>
      </c>
      <c r="O24" s="170">
        <f>'4) Resultados'!BE11</f>
        <v>0</v>
      </c>
      <c r="P24" s="170">
        <f>'4) Resultados'!BG11</f>
        <v>0</v>
      </c>
      <c r="Q24" s="170">
        <f>'4) Resultados'!BI11</f>
        <v>0</v>
      </c>
      <c r="R24" s="170">
        <f>'4) Resultados'!BK11</f>
        <v>0</v>
      </c>
      <c r="S24" s="175">
        <f>'4) Resultados'!BM11</f>
        <v>0</v>
      </c>
    </row>
    <row r="25" spans="5:19" x14ac:dyDescent="0.35">
      <c r="I25" s="173"/>
      <c r="J25" s="169" t="str">
        <f>'4) Resultados'!AV12</f>
        <v>Planta de compostaje</v>
      </c>
      <c r="K25" s="170">
        <f>'4) Resultados'!AW12</f>
        <v>3000000</v>
      </c>
      <c r="L25" s="170">
        <f>'4) Resultados'!AY12</f>
        <v>0</v>
      </c>
      <c r="M25" s="170">
        <f>'4) Resultados'!BA12</f>
        <v>0</v>
      </c>
      <c r="N25" s="170">
        <f>'4) Resultados'!BC12</f>
        <v>0</v>
      </c>
      <c r="O25" s="170">
        <f>'4) Resultados'!BE12</f>
        <v>0</v>
      </c>
      <c r="P25" s="170">
        <f>'4) Resultados'!BG12</f>
        <v>0</v>
      </c>
      <c r="Q25" s="170">
        <f>'4) Resultados'!BI12</f>
        <v>0</v>
      </c>
      <c r="R25" s="170">
        <f>'4) Resultados'!BK12</f>
        <v>0</v>
      </c>
      <c r="S25" s="175">
        <f>'4) Resultados'!BM12</f>
        <v>0</v>
      </c>
    </row>
    <row r="26" spans="5:19" x14ac:dyDescent="0.35">
      <c r="I26" s="173"/>
      <c r="J26" s="169" t="str">
        <f>'4) Resultados'!AV13</f>
        <v>Estación de transferencia</v>
      </c>
      <c r="K26" s="170">
        <f>'4) Resultados'!AW13</f>
        <v>1000000</v>
      </c>
      <c r="L26" s="170">
        <f>'4) Resultados'!AY13</f>
        <v>0</v>
      </c>
      <c r="M26" s="170">
        <f>'4) Resultados'!BA13</f>
        <v>8024.2587190691311</v>
      </c>
      <c r="N26" s="170">
        <f>'4) Resultados'!BC13</f>
        <v>0</v>
      </c>
      <c r="O26" s="170">
        <f>'4) Resultados'!BE13</f>
        <v>8024.2587190691311</v>
      </c>
      <c r="P26" s="170">
        <f>'4) Resultados'!BG13</f>
        <v>0</v>
      </c>
      <c r="Q26" s="170">
        <f>'4) Resultados'!BI13</f>
        <v>8024.2587190691311</v>
      </c>
      <c r="R26" s="170">
        <f>'4) Resultados'!BK13</f>
        <v>0</v>
      </c>
      <c r="S26" s="175">
        <f>'4) Resultados'!BM13</f>
        <v>8024.2587190691311</v>
      </c>
    </row>
    <row r="27" spans="5:19" x14ac:dyDescent="0.35">
      <c r="I27" s="173"/>
      <c r="J27" s="169" t="str">
        <f>'4) Resultados'!AV14</f>
        <v>Disposición final</v>
      </c>
      <c r="K27" s="170">
        <f>'4) Resultados'!AW14</f>
        <v>4000000</v>
      </c>
      <c r="L27" s="170">
        <f>'4) Resultados'!AY14</f>
        <v>0</v>
      </c>
      <c r="M27" s="170">
        <f>'4) Resultados'!BA14</f>
        <v>0</v>
      </c>
      <c r="N27" s="170">
        <f>'4) Resultados'!BC14</f>
        <v>0</v>
      </c>
      <c r="O27" s="170">
        <f>'4) Resultados'!BE14</f>
        <v>0</v>
      </c>
      <c r="P27" s="170">
        <f>'4) Resultados'!BG14</f>
        <v>0</v>
      </c>
      <c r="Q27" s="170">
        <f>'4) Resultados'!BI14</f>
        <v>0</v>
      </c>
      <c r="R27" s="170">
        <f>'4) Resultados'!BK14</f>
        <v>0</v>
      </c>
      <c r="S27" s="175">
        <f>'4) Resultados'!BM14</f>
        <v>0</v>
      </c>
    </row>
    <row r="28" spans="5:19" x14ac:dyDescent="0.35">
      <c r="I28" s="173"/>
      <c r="J28" s="169" t="str">
        <f>'4) Resultados'!AV15</f>
        <v>Administración del servicio</v>
      </c>
      <c r="K28" s="170">
        <f>'4) Resultados'!AW15</f>
        <v>1000000</v>
      </c>
      <c r="L28" s="170" t="str">
        <f>'4) Resultados'!AY15</f>
        <v/>
      </c>
      <c r="M28" s="170" t="str">
        <f>'4) Resultados'!BA15</f>
        <v/>
      </c>
      <c r="N28" s="170" t="str">
        <f>'4) Resultados'!BC15</f>
        <v/>
      </c>
      <c r="O28" s="170" t="str">
        <f>'4) Resultados'!BE15</f>
        <v/>
      </c>
      <c r="P28" s="170" t="str">
        <f>'4) Resultados'!BG15</f>
        <v/>
      </c>
      <c r="Q28" s="170" t="str">
        <f>'4) Resultados'!BI15</f>
        <v/>
      </c>
      <c r="R28" s="170" t="str">
        <f>'4) Resultados'!BK15</f>
        <v/>
      </c>
      <c r="S28" s="175" t="str">
        <f>'4) Resultados'!BM15</f>
        <v/>
      </c>
    </row>
    <row r="29" spans="5:19" x14ac:dyDescent="0.35">
      <c r="I29" s="173"/>
      <c r="J29" s="169" t="str">
        <f>'4) Resultados'!AV16</f>
        <v>Planificación y fiscalización del servicio</v>
      </c>
      <c r="K29" s="170">
        <f>'4) Resultados'!AW16</f>
        <v>1200000</v>
      </c>
      <c r="L29" s="170" t="str">
        <f>'4) Resultados'!AY16</f>
        <v/>
      </c>
      <c r="M29" s="170" t="str">
        <f>'4) Resultados'!BA16</f>
        <v/>
      </c>
      <c r="N29" s="170" t="str">
        <f>'4) Resultados'!BC16</f>
        <v/>
      </c>
      <c r="O29" s="170" t="str">
        <f>'4) Resultados'!BE16</f>
        <v/>
      </c>
      <c r="P29" s="170" t="str">
        <f>'4) Resultados'!BG16</f>
        <v/>
      </c>
      <c r="Q29" s="170" t="str">
        <f>'4) Resultados'!BI16</f>
        <v/>
      </c>
      <c r="R29" s="170" t="str">
        <f>'4) Resultados'!BK16</f>
        <v/>
      </c>
      <c r="S29" s="175" t="str">
        <f>'4) Resultados'!BM16</f>
        <v/>
      </c>
    </row>
    <row r="30" spans="5:19" x14ac:dyDescent="0.35">
      <c r="I30" s="173"/>
      <c r="J30" s="169"/>
      <c r="K30" s="170"/>
      <c r="L30" s="170"/>
      <c r="M30" s="170"/>
      <c r="N30" s="170"/>
      <c r="O30" s="170"/>
      <c r="P30" s="170"/>
      <c r="Q30" s="170"/>
      <c r="R30" s="170"/>
      <c r="S30" s="175"/>
    </row>
    <row r="31" spans="5:19" x14ac:dyDescent="0.35">
      <c r="I31" s="173"/>
      <c r="J31" s="169" t="str">
        <f>'4) Resultados'!AV17</f>
        <v>Educación y comunicación</v>
      </c>
      <c r="K31" s="170">
        <f>'4) Resultados'!AW17</f>
        <v>1920000</v>
      </c>
      <c r="L31" s="170" t="str">
        <f>'4) Resultados'!AY17</f>
        <v/>
      </c>
      <c r="M31" s="170" t="str">
        <f>'4) Resultados'!BA17</f>
        <v/>
      </c>
      <c r="N31" s="170" t="str">
        <f>'4) Resultados'!BC17</f>
        <v/>
      </c>
      <c r="O31" s="170" t="str">
        <f>'4) Resultados'!BE17</f>
        <v/>
      </c>
      <c r="P31" s="170" t="str">
        <f>'4) Resultados'!BG17</f>
        <v/>
      </c>
      <c r="Q31" s="170" t="str">
        <f>'4) Resultados'!BI17</f>
        <v/>
      </c>
      <c r="R31" s="170" t="str">
        <f>'4) Resultados'!BK17</f>
        <v/>
      </c>
      <c r="S31" s="175" t="str">
        <f>'4) Resultados'!BM17</f>
        <v/>
      </c>
    </row>
    <row r="32" spans="5:19" ht="15" thickBot="1" x14ac:dyDescent="0.4">
      <c r="I32" s="176"/>
      <c r="J32" s="177" t="str">
        <f>_xlfn.CONCAT("[",Info!C5,"/ton]")</f>
        <v>[$$$/ton]</v>
      </c>
      <c r="K32" s="295" t="str">
        <f>'4) Resultados'!AW21</f>
        <v/>
      </c>
      <c r="L32" s="295" t="str">
        <f>'4) Resultados'!AY21</f>
        <v/>
      </c>
      <c r="M32" s="295" t="str">
        <f>'4) Resultados'!BA21</f>
        <v/>
      </c>
      <c r="N32" s="295" t="str">
        <f>'4) Resultados'!BC21</f>
        <v/>
      </c>
      <c r="O32" s="295" t="str">
        <f>'4) Resultados'!BE21</f>
        <v/>
      </c>
      <c r="P32" s="295" t="str">
        <f>'4) Resultados'!BG21</f>
        <v/>
      </c>
      <c r="Q32" s="295" t="str">
        <f>'4) Resultados'!BI21</f>
        <v/>
      </c>
      <c r="R32" s="295" t="str">
        <f>'4) Resultados'!BK21</f>
        <v/>
      </c>
      <c r="S32" s="296" t="str">
        <f>'4) Resultados'!BM21</f>
        <v/>
      </c>
    </row>
    <row r="33" spans="9:22" ht="15" thickBot="1" x14ac:dyDescent="0.4">
      <c r="I33" s="30"/>
      <c r="J33" s="30"/>
      <c r="K33" s="30"/>
      <c r="L33" s="30"/>
      <c r="M33" s="30"/>
      <c r="N33" s="30"/>
      <c r="O33" s="30"/>
      <c r="P33" s="30"/>
      <c r="Q33" s="30"/>
      <c r="R33" s="30"/>
      <c r="S33" s="30"/>
    </row>
    <row r="34" spans="9:22" x14ac:dyDescent="0.35">
      <c r="I34" s="182"/>
      <c r="J34" s="183" t="s">
        <v>308</v>
      </c>
      <c r="K34" s="183"/>
      <c r="L34" s="183"/>
      <c r="M34" s="183"/>
      <c r="N34" s="183"/>
      <c r="O34" s="183"/>
      <c r="P34" s="183"/>
      <c r="Q34" s="183"/>
      <c r="R34" s="183"/>
      <c r="S34" s="184"/>
    </row>
    <row r="35" spans="9:22" x14ac:dyDescent="0.35">
      <c r="I35" s="185"/>
      <c r="J35" s="178" t="s">
        <v>309</v>
      </c>
      <c r="K35" s="178"/>
      <c r="L35" s="178"/>
      <c r="M35" s="178"/>
      <c r="N35" s="178"/>
      <c r="O35" s="178"/>
      <c r="P35" s="178"/>
      <c r="Q35" s="178"/>
      <c r="R35" s="178"/>
      <c r="S35" s="186"/>
    </row>
    <row r="36" spans="9:22" x14ac:dyDescent="0.35">
      <c r="I36" s="185"/>
      <c r="J36" s="178" t="s">
        <v>129</v>
      </c>
      <c r="K36" s="178"/>
      <c r="L36" s="178"/>
      <c r="M36" s="178"/>
      <c r="N36" s="178"/>
      <c r="O36" s="178"/>
      <c r="P36" s="178"/>
      <c r="Q36" s="178"/>
      <c r="R36" s="178"/>
      <c r="S36" s="186"/>
    </row>
    <row r="37" spans="9:22" x14ac:dyDescent="0.35">
      <c r="I37" s="185"/>
      <c r="J37" s="178"/>
      <c r="K37" s="178"/>
      <c r="L37" s="178"/>
      <c r="M37" s="178"/>
      <c r="N37" s="178"/>
      <c r="O37" s="178"/>
      <c r="P37" s="178"/>
      <c r="Q37" s="178"/>
      <c r="R37" s="178"/>
      <c r="S37" s="186"/>
    </row>
    <row r="38" spans="9:22" x14ac:dyDescent="0.35">
      <c r="I38" s="185" t="s">
        <v>321</v>
      </c>
      <c r="J38" s="178"/>
      <c r="K38" s="1123" t="str">
        <f>'4) Resultados'!AW7</f>
        <v>Caso real actual</v>
      </c>
      <c r="L38" s="1124" t="str">
        <f>'4) Resultados'!AY7</f>
        <v>Recolección por acera</v>
      </c>
      <c r="M38" s="1124"/>
      <c r="N38" s="1124" t="str">
        <f>'4) Resultados'!BC7</f>
        <v>Recolección por esquina</v>
      </c>
      <c r="O38" s="1124"/>
      <c r="P38" s="1124" t="str">
        <f>'4) Resultados'!BG7</f>
        <v>Recolección con contenedores</v>
      </c>
      <c r="Q38" s="1124"/>
      <c r="R38" s="1124" t="str">
        <f>'4) Resultados'!BK7</f>
        <v>Recolección diferenciada con contenedores</v>
      </c>
      <c r="S38" s="1125"/>
    </row>
    <row r="39" spans="9:22" x14ac:dyDescent="0.35">
      <c r="I39" s="185"/>
      <c r="J39" s="178"/>
      <c r="K39" s="1123"/>
      <c r="L39" s="178" t="str">
        <f>'4) Resultados'!AY8</f>
        <v>Sin estación de transferencia</v>
      </c>
      <c r="M39" s="178" t="str">
        <f>'4) Resultados'!BA8</f>
        <v>Con estación de transferencia</v>
      </c>
      <c r="N39" s="178" t="str">
        <f>'4) Resultados'!BC8</f>
        <v>Sin estación de transferencia</v>
      </c>
      <c r="O39" s="178" t="str">
        <f>'4) Resultados'!BE8</f>
        <v>Con estación de transferencia</v>
      </c>
      <c r="P39" s="178" t="str">
        <f>'4) Resultados'!BG8</f>
        <v>Sin estación de transferencia</v>
      </c>
      <c r="Q39" s="178" t="str">
        <f>'4) Resultados'!BI8</f>
        <v>Con estación de transferencia</v>
      </c>
      <c r="R39" s="178" t="str">
        <f>'4) Resultados'!BK8</f>
        <v>Sin estación de transferencia</v>
      </c>
      <c r="S39" s="186" t="str">
        <f>'4) Resultados'!BM8</f>
        <v>Con estación de transferencia</v>
      </c>
    </row>
    <row r="40" spans="9:22" x14ac:dyDescent="0.35">
      <c r="I40" s="185"/>
      <c r="J40" s="178" t="str">
        <f>Language!A842</f>
        <v>Costos de recolección primaria</v>
      </c>
      <c r="K40" s="178"/>
      <c r="L40" s="179" t="str">
        <f>'5) Calculos'!C291</f>
        <v/>
      </c>
      <c r="M40" s="179" t="str">
        <f>'5) Calculos'!D291</f>
        <v/>
      </c>
      <c r="N40" s="179" t="str">
        <f>'5) Calculos'!E291</f>
        <v/>
      </c>
      <c r="O40" s="179" t="str">
        <f>'5) Calculos'!F291</f>
        <v/>
      </c>
      <c r="P40" s="179" t="str">
        <f>'5) Calculos'!G291</f>
        <v/>
      </c>
      <c r="Q40" s="179" t="str">
        <f>'5) Calculos'!H291</f>
        <v/>
      </c>
      <c r="R40" s="179" t="str">
        <f>'5) Calculos'!I291</f>
        <v/>
      </c>
      <c r="S40" s="187" t="str">
        <f>'5) Calculos'!M291</f>
        <v/>
      </c>
    </row>
    <row r="41" spans="9:22" x14ac:dyDescent="0.35">
      <c r="I41" s="185"/>
      <c r="J41" s="178" t="str">
        <f>Language!A843</f>
        <v>Costos de recolección</v>
      </c>
      <c r="K41" s="180">
        <f>'4) Resultados'!AW10</f>
        <v>5000000</v>
      </c>
      <c r="L41" s="179" t="e">
        <f>'5) Calculos'!C323</f>
        <v>#DIV/0!</v>
      </c>
      <c r="M41" s="179" t="e">
        <f>'5) Calculos'!D323</f>
        <v>#DIV/0!</v>
      </c>
      <c r="N41" s="179" t="e">
        <f>'5) Calculos'!E323</f>
        <v>#DIV/0!</v>
      </c>
      <c r="O41" s="179" t="e">
        <f>'5) Calculos'!F323</f>
        <v>#DIV/0!</v>
      </c>
      <c r="P41" s="179" t="e">
        <f>'5) Calculos'!G323</f>
        <v>#DIV/0!</v>
      </c>
      <c r="Q41" s="179" t="e">
        <f>'5) Calculos'!H323</f>
        <v>#DIV/0!</v>
      </c>
      <c r="R41" s="179" t="e">
        <f>'5) Calculos'!I323</f>
        <v>#DIV/0!</v>
      </c>
      <c r="S41" s="187" t="e">
        <f>'5) Calculos'!M323</f>
        <v>#DIV/0!</v>
      </c>
    </row>
    <row r="42" spans="9:22" x14ac:dyDescent="0.35">
      <c r="I42" s="185"/>
      <c r="J42" s="178" t="str">
        <f>Language!A844</f>
        <v>Costos de transporte</v>
      </c>
      <c r="K42" s="178"/>
      <c r="L42" s="179" t="e">
        <f>'5) Calculos'!C332-L43</f>
        <v>#DIV/0!</v>
      </c>
      <c r="M42" s="179" t="e">
        <f>'5) Calculos'!D332-M43</f>
        <v>#DIV/0!</v>
      </c>
      <c r="N42" s="179" t="e">
        <f>'5) Calculos'!E332-N43</f>
        <v>#DIV/0!</v>
      </c>
      <c r="O42" s="179" t="e">
        <f>'5) Calculos'!F332-O43</f>
        <v>#DIV/0!</v>
      </c>
      <c r="P42" s="179" t="e">
        <f>'5) Calculos'!G332-P43</f>
        <v>#DIV/0!</v>
      </c>
      <c r="Q42" s="179" t="e">
        <f>'5) Calculos'!H332-Q43</f>
        <v>#DIV/0!</v>
      </c>
      <c r="R42" s="179" t="e">
        <f>'5) Calculos'!I332-R43</f>
        <v>#DIV/0!</v>
      </c>
      <c r="S42" s="187" t="e">
        <f>'5) Calculos'!M332-S43</f>
        <v>#DIV/0!</v>
      </c>
    </row>
    <row r="43" spans="9:22" x14ac:dyDescent="0.35">
      <c r="I43" s="185"/>
      <c r="J43" s="178" t="str">
        <f>Language!A845</f>
        <v>Costos estación de transferencia</v>
      </c>
      <c r="K43" s="178"/>
      <c r="L43" s="179">
        <f>'4) Resultados'!AY13</f>
        <v>0</v>
      </c>
      <c r="M43" s="179">
        <f>'4) Resultados'!BA13</f>
        <v>8024.2587190691311</v>
      </c>
      <c r="N43" s="179">
        <f>'4) Resultados'!BC13</f>
        <v>0</v>
      </c>
      <c r="O43" s="179">
        <f>'4) Resultados'!BE13</f>
        <v>8024.2587190691311</v>
      </c>
      <c r="P43" s="179">
        <f>'4) Resultados'!BG13</f>
        <v>0</v>
      </c>
      <c r="Q43" s="179">
        <f>'4) Resultados'!BI13</f>
        <v>8024.2587190691311</v>
      </c>
      <c r="R43" s="179">
        <f>'4) Resultados'!BK13</f>
        <v>0</v>
      </c>
      <c r="S43" s="187">
        <f>'4) Resultados'!BM13</f>
        <v>8024.2587190691311</v>
      </c>
    </row>
    <row r="44" spans="9:22" x14ac:dyDescent="0.35">
      <c r="I44" s="185"/>
      <c r="J44" s="178" t="str">
        <f>Language!A846</f>
        <v>Costos de contenedores</v>
      </c>
      <c r="K44" s="178"/>
      <c r="L44" s="178">
        <f>'5) Calculos'!C298</f>
        <v>0</v>
      </c>
      <c r="M44" s="178">
        <f>'5) Calculos'!D298</f>
        <v>0</v>
      </c>
      <c r="N44" s="178">
        <f>'5) Calculos'!E298</f>
        <v>0</v>
      </c>
      <c r="O44" s="178">
        <f>'5) Calculos'!F298</f>
        <v>0</v>
      </c>
      <c r="P44" s="181" t="e">
        <f>'5) Calculos'!G298</f>
        <v>#DIV/0!</v>
      </c>
      <c r="Q44" s="181" t="e">
        <f>'5) Calculos'!H298</f>
        <v>#DIV/0!</v>
      </c>
      <c r="R44" s="181" t="e">
        <f>'5) Calculos'!I298</f>
        <v>#DIV/0!</v>
      </c>
      <c r="S44" s="188" t="e">
        <f>'5) Calculos'!M298</f>
        <v>#DIV/0!</v>
      </c>
    </row>
    <row r="45" spans="9:22" ht="15" thickBot="1" x14ac:dyDescent="0.4">
      <c r="I45" s="189"/>
      <c r="J45" s="190" t="str">
        <f>Language!A847</f>
        <v>Costo de recolección y transferencia por tonelada [$$$/ton]</v>
      </c>
      <c r="K45" s="297" t="str">
        <f>'4) Resultados'!AW20</f>
        <v/>
      </c>
      <c r="L45" s="297" t="str">
        <f>'4) Resultados'!AY20</f>
        <v/>
      </c>
      <c r="M45" s="297" t="str">
        <f>'4) Resultados'!BA20</f>
        <v/>
      </c>
      <c r="N45" s="297" t="str">
        <f>'4) Resultados'!BC20</f>
        <v/>
      </c>
      <c r="O45" s="297" t="str">
        <f>'4) Resultados'!BE20</f>
        <v/>
      </c>
      <c r="P45" s="297" t="str">
        <f>'4) Resultados'!BG20</f>
        <v/>
      </c>
      <c r="Q45" s="297" t="str">
        <f>'4) Resultados'!BI20</f>
        <v/>
      </c>
      <c r="R45" s="297" t="str">
        <f>'4) Resultados'!BK20</f>
        <v/>
      </c>
      <c r="S45" s="298" t="str">
        <f>'4) Resultados'!BM20</f>
        <v/>
      </c>
    </row>
    <row r="46" spans="9:22" ht="15" thickBot="1" x14ac:dyDescent="0.4"/>
    <row r="47" spans="9:22" x14ac:dyDescent="0.35">
      <c r="U47" s="200" t="str">
        <f>'4) Resultados'!AV9</f>
        <v>Servicio de barrido/limpieza urbana</v>
      </c>
      <c r="V47" s="198"/>
    </row>
    <row r="48" spans="9:22" x14ac:dyDescent="0.35">
      <c r="U48" s="201" t="str">
        <f>'4) Resultados'!AW7</f>
        <v>Caso real actual</v>
      </c>
      <c r="V48" s="175">
        <f>'4) Resultados'!AW9</f>
        <v>1000000</v>
      </c>
    </row>
    <row r="49" spans="21:22" ht="15" thickBot="1" x14ac:dyDescent="0.4">
      <c r="U49" s="202" t="str">
        <f>'4) Resultados'!AV6</f>
        <v>Resultados de la modelización</v>
      </c>
      <c r="V49" s="199">
        <f>'4) Resultados'!AY9</f>
        <v>0</v>
      </c>
    </row>
  </sheetData>
  <mergeCells count="11">
    <mergeCell ref="E9:F9"/>
    <mergeCell ref="L20:M20"/>
    <mergeCell ref="P20:Q20"/>
    <mergeCell ref="R20:S20"/>
    <mergeCell ref="K20:K21"/>
    <mergeCell ref="N20:O20"/>
    <mergeCell ref="K38:K39"/>
    <mergeCell ref="L38:M38"/>
    <mergeCell ref="N38:O38"/>
    <mergeCell ref="P38:Q38"/>
    <mergeCell ref="R38:S3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80"/>
  <sheetViews>
    <sheetView topLeftCell="A25" zoomScale="115" zoomScaleNormal="115" workbookViewId="0">
      <selection activeCell="B48" sqref="B48"/>
    </sheetView>
  </sheetViews>
  <sheetFormatPr defaultColWidth="9.1796875" defaultRowHeight="14.5" x14ac:dyDescent="0.35"/>
  <cols>
    <col min="1" max="1" width="9.1796875" style="30"/>
    <col min="2" max="2" width="143.81640625" customWidth="1"/>
    <col min="3" max="3" width="9.1796875" style="30"/>
  </cols>
  <sheetData>
    <row r="1" spans="2:2" x14ac:dyDescent="0.35">
      <c r="B1" s="30"/>
    </row>
    <row r="2" spans="2:2" x14ac:dyDescent="0.35">
      <c r="B2" s="25" t="s">
        <v>246</v>
      </c>
    </row>
    <row r="3" spans="2:2" x14ac:dyDescent="0.35">
      <c r="B3" s="25" t="s">
        <v>245</v>
      </c>
    </row>
    <row r="4" spans="2:2" x14ac:dyDescent="0.35">
      <c r="B4" s="25" t="s">
        <v>248</v>
      </c>
    </row>
    <row r="5" spans="2:2" x14ac:dyDescent="0.35">
      <c r="B5" s="25" t="s">
        <v>249</v>
      </c>
    </row>
    <row r="6" spans="2:2" x14ac:dyDescent="0.35">
      <c r="B6" s="25" t="s">
        <v>250</v>
      </c>
    </row>
    <row r="7" spans="2:2" x14ac:dyDescent="0.35">
      <c r="B7" s="25" t="s">
        <v>251</v>
      </c>
    </row>
    <row r="8" spans="2:2" ht="43.5" x14ac:dyDescent="0.35">
      <c r="B8" s="25" t="s">
        <v>252</v>
      </c>
    </row>
    <row r="9" spans="2:2" x14ac:dyDescent="0.35">
      <c r="B9" s="26" t="s">
        <v>253</v>
      </c>
    </row>
    <row r="10" spans="2:2" ht="72.5" x14ac:dyDescent="0.35">
      <c r="B10" s="25" t="s">
        <v>261</v>
      </c>
    </row>
    <row r="11" spans="2:2" ht="29" x14ac:dyDescent="0.35">
      <c r="B11" s="25" t="s">
        <v>262</v>
      </c>
    </row>
    <row r="12" spans="2:2" x14ac:dyDescent="0.35">
      <c r="B12" s="25" t="s">
        <v>263</v>
      </c>
    </row>
    <row r="13" spans="2:2" x14ac:dyDescent="0.35">
      <c r="B13" s="25" t="s">
        <v>265</v>
      </c>
    </row>
    <row r="14" spans="2:2" x14ac:dyDescent="0.35">
      <c r="B14" s="25" t="s">
        <v>266</v>
      </c>
    </row>
    <row r="15" spans="2:2" x14ac:dyDescent="0.35">
      <c r="B15" s="25" t="s">
        <v>280</v>
      </c>
    </row>
    <row r="16" spans="2:2" x14ac:dyDescent="0.35">
      <c r="B16" s="25"/>
    </row>
    <row r="17" spans="2:2" x14ac:dyDescent="0.35">
      <c r="B17" s="25" t="s">
        <v>274</v>
      </c>
    </row>
    <row r="18" spans="2:2" x14ac:dyDescent="0.35">
      <c r="B18" s="25" t="s">
        <v>273</v>
      </c>
    </row>
    <row r="19" spans="2:2" x14ac:dyDescent="0.35">
      <c r="B19" t="s">
        <v>281</v>
      </c>
    </row>
    <row r="20" spans="2:2" ht="29" x14ac:dyDescent="0.35">
      <c r="B20" s="25" t="s">
        <v>292</v>
      </c>
    </row>
    <row r="21" spans="2:2" x14ac:dyDescent="0.35">
      <c r="B21" s="25"/>
    </row>
    <row r="22" spans="2:2" x14ac:dyDescent="0.35">
      <c r="B22" s="25" t="s">
        <v>293</v>
      </c>
    </row>
    <row r="23" spans="2:2" x14ac:dyDescent="0.35">
      <c r="B23" s="25" t="s">
        <v>294</v>
      </c>
    </row>
    <row r="24" spans="2:2" x14ac:dyDescent="0.35">
      <c r="B24" s="25" t="s">
        <v>305</v>
      </c>
    </row>
    <row r="25" spans="2:2" x14ac:dyDescent="0.35">
      <c r="B25" s="25" t="s">
        <v>306</v>
      </c>
    </row>
    <row r="26" spans="2:2" x14ac:dyDescent="0.35">
      <c r="B26" s="25" t="s">
        <v>307</v>
      </c>
    </row>
    <row r="27" spans="2:2" x14ac:dyDescent="0.35">
      <c r="B27" s="25" t="s">
        <v>313</v>
      </c>
    </row>
    <row r="28" spans="2:2" x14ac:dyDescent="0.35">
      <c r="B28" s="25" t="s">
        <v>326</v>
      </c>
    </row>
    <row r="29" spans="2:2" x14ac:dyDescent="0.35">
      <c r="B29" s="25" t="s">
        <v>327</v>
      </c>
    </row>
    <row r="30" spans="2:2" x14ac:dyDescent="0.35">
      <c r="B30" s="25" t="s">
        <v>328</v>
      </c>
    </row>
    <row r="31" spans="2:2" x14ac:dyDescent="0.35">
      <c r="B31" s="25" t="s">
        <v>331</v>
      </c>
    </row>
    <row r="32" spans="2:2" x14ac:dyDescent="0.35">
      <c r="B32" s="25" t="s">
        <v>332</v>
      </c>
    </row>
    <row r="33" spans="1:3" x14ac:dyDescent="0.35">
      <c r="B33" s="25" t="s">
        <v>333</v>
      </c>
    </row>
    <row r="34" spans="1:3" x14ac:dyDescent="0.35">
      <c r="B34" s="25"/>
    </row>
    <row r="35" spans="1:3" x14ac:dyDescent="0.35">
      <c r="B35" s="25" t="s">
        <v>336</v>
      </c>
    </row>
    <row r="36" spans="1:3" x14ac:dyDescent="0.35">
      <c r="B36" s="25" t="s">
        <v>369</v>
      </c>
    </row>
    <row r="37" spans="1:3" x14ac:dyDescent="0.35">
      <c r="B37" s="25"/>
    </row>
    <row r="38" spans="1:3" x14ac:dyDescent="0.35">
      <c r="B38" s="25" t="s">
        <v>551</v>
      </c>
    </row>
    <row r="39" spans="1:3" x14ac:dyDescent="0.35">
      <c r="A39"/>
      <c r="B39" s="25" t="s">
        <v>552</v>
      </c>
      <c r="C39"/>
    </row>
    <row r="40" spans="1:3" x14ac:dyDescent="0.35">
      <c r="A40"/>
      <c r="B40" s="25"/>
      <c r="C40"/>
    </row>
    <row r="41" spans="1:3" x14ac:dyDescent="0.35">
      <c r="A41"/>
      <c r="B41" s="25" t="s">
        <v>572</v>
      </c>
      <c r="C41"/>
    </row>
    <row r="42" spans="1:3" x14ac:dyDescent="0.35">
      <c r="A42"/>
      <c r="B42" s="25" t="s">
        <v>573</v>
      </c>
      <c r="C42"/>
    </row>
    <row r="43" spans="1:3" x14ac:dyDescent="0.35">
      <c r="A43"/>
      <c r="B43" s="25" t="s">
        <v>577</v>
      </c>
      <c r="C43"/>
    </row>
    <row r="44" spans="1:3" x14ac:dyDescent="0.35">
      <c r="A44"/>
      <c r="B44" s="25" t="s">
        <v>588</v>
      </c>
      <c r="C44"/>
    </row>
    <row r="45" spans="1:3" x14ac:dyDescent="0.35">
      <c r="A45"/>
      <c r="B45" s="25" t="s">
        <v>590</v>
      </c>
      <c r="C45"/>
    </row>
    <row r="46" spans="1:3" x14ac:dyDescent="0.35">
      <c r="A46"/>
      <c r="B46" s="25" t="s">
        <v>594</v>
      </c>
      <c r="C46"/>
    </row>
    <row r="47" spans="1:3" x14ac:dyDescent="0.35">
      <c r="A47"/>
      <c r="B47" s="25" t="s">
        <v>595</v>
      </c>
      <c r="C47"/>
    </row>
    <row r="48" spans="1:3" x14ac:dyDescent="0.35">
      <c r="A48"/>
      <c r="B48" s="25"/>
      <c r="C48"/>
    </row>
    <row r="49" spans="1:3" x14ac:dyDescent="0.35">
      <c r="A49"/>
      <c r="B49" s="25"/>
      <c r="C49"/>
    </row>
    <row r="50" spans="1:3" x14ac:dyDescent="0.35">
      <c r="A50"/>
      <c r="B50" s="25"/>
      <c r="C50"/>
    </row>
    <row r="51" spans="1:3" ht="29" x14ac:dyDescent="0.35">
      <c r="A51"/>
      <c r="B51" s="25" t="s">
        <v>355</v>
      </c>
      <c r="C51"/>
    </row>
    <row r="52" spans="1:3" x14ac:dyDescent="0.35">
      <c r="A52"/>
      <c r="B52" s="25"/>
      <c r="C52"/>
    </row>
    <row r="54" spans="1:3" x14ac:dyDescent="0.35">
      <c r="A54"/>
      <c r="B54" s="25" t="s">
        <v>264</v>
      </c>
      <c r="C54"/>
    </row>
    <row r="55" spans="1:3" ht="29" x14ac:dyDescent="0.35">
      <c r="A55"/>
      <c r="B55" s="1" t="s">
        <v>282</v>
      </c>
      <c r="C55"/>
    </row>
    <row r="56" spans="1:3" x14ac:dyDescent="0.35">
      <c r="A56"/>
      <c r="B56" s="1"/>
      <c r="C56"/>
    </row>
    <row r="58" spans="1:3" x14ac:dyDescent="0.35">
      <c r="A58"/>
      <c r="B58" s="1"/>
      <c r="C58"/>
    </row>
    <row r="61" spans="1:3" ht="29" x14ac:dyDescent="0.35">
      <c r="A61"/>
      <c r="B61" s="1" t="s">
        <v>295</v>
      </c>
      <c r="C61"/>
    </row>
    <row r="64" spans="1:3" x14ac:dyDescent="0.35">
      <c r="A64"/>
      <c r="B64" t="s">
        <v>296</v>
      </c>
      <c r="C64"/>
    </row>
    <row r="68" spans="1:3" x14ac:dyDescent="0.35">
      <c r="A68"/>
      <c r="B68" t="s">
        <v>349</v>
      </c>
      <c r="C68"/>
    </row>
    <row r="69" spans="1:3" s="30" customFormat="1" x14ac:dyDescent="0.35"/>
    <row r="70" spans="1:3" s="30" customFormat="1" x14ac:dyDescent="0.35"/>
    <row r="71" spans="1:3" s="30" customFormat="1" x14ac:dyDescent="0.35"/>
    <row r="72" spans="1:3" s="30" customFormat="1" x14ac:dyDescent="0.35"/>
    <row r="73" spans="1:3" s="30" customFormat="1" x14ac:dyDescent="0.35">
      <c r="B73" s="30" t="s">
        <v>380</v>
      </c>
    </row>
    <row r="74" spans="1:3" s="30" customFormat="1" x14ac:dyDescent="0.35"/>
    <row r="75" spans="1:3" s="30" customFormat="1" x14ac:dyDescent="0.35"/>
    <row r="76" spans="1:3" s="30" customFormat="1" x14ac:dyDescent="0.35"/>
    <row r="77" spans="1:3" s="30" customFormat="1" x14ac:dyDescent="0.35"/>
    <row r="78" spans="1:3" s="30" customFormat="1" x14ac:dyDescent="0.35"/>
    <row r="79" spans="1:3" s="30" customFormat="1" x14ac:dyDescent="0.35"/>
    <row r="80" spans="1:3" s="30" customFormat="1"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7" tint="0.39997558519241921"/>
  </sheetPr>
  <dimension ref="A1:S121"/>
  <sheetViews>
    <sheetView zoomScaleNormal="100" workbookViewId="0">
      <selection activeCell="B81" sqref="B81"/>
    </sheetView>
  </sheetViews>
  <sheetFormatPr defaultColWidth="0" defaultRowHeight="14.5" zeroHeight="1" x14ac:dyDescent="0.35"/>
  <cols>
    <col min="1" max="1" width="6.54296875" style="30" customWidth="1"/>
    <col min="2" max="2" width="233.453125" customWidth="1"/>
    <col min="3" max="3" width="10.1796875" customWidth="1"/>
    <col min="4" max="4" width="32.453125" style="24" hidden="1" customWidth="1"/>
    <col min="5" max="19" width="11.54296875" style="24" hidden="1" customWidth="1"/>
    <col min="20" max="16384" width="11.453125" hidden="1"/>
  </cols>
  <sheetData>
    <row r="1" spans="2:3" ht="15" thickBot="1" x14ac:dyDescent="0.4">
      <c r="B1" s="30"/>
      <c r="C1" s="30"/>
    </row>
    <row r="2" spans="2:3" ht="23.5" x14ac:dyDescent="0.35">
      <c r="B2" s="62" t="s">
        <v>182</v>
      </c>
      <c r="C2" s="30"/>
    </row>
    <row r="3" spans="2:3" ht="23.25" customHeight="1" x14ac:dyDescent="0.35">
      <c r="B3" s="822" t="s">
        <v>183</v>
      </c>
      <c r="C3" s="30"/>
    </row>
    <row r="4" spans="2:3" ht="15" thickBot="1" x14ac:dyDescent="0.4">
      <c r="B4" s="823"/>
      <c r="C4" s="30"/>
    </row>
    <row r="5" spans="2:3" ht="18.5" x14ac:dyDescent="0.35">
      <c r="B5" s="52" t="s">
        <v>623</v>
      </c>
      <c r="C5" s="71"/>
    </row>
    <row r="6" spans="2:3" ht="18.5" x14ac:dyDescent="0.35">
      <c r="B6" s="55" t="s">
        <v>198</v>
      </c>
      <c r="C6" s="71"/>
    </row>
    <row r="7" spans="2:3" x14ac:dyDescent="0.35">
      <c r="B7" s="51" t="s">
        <v>628</v>
      </c>
      <c r="C7" s="30"/>
    </row>
    <row r="8" spans="2:3" x14ac:dyDescent="0.35">
      <c r="B8" s="51" t="s">
        <v>671</v>
      </c>
      <c r="C8" s="30"/>
    </row>
    <row r="9" spans="2:3" x14ac:dyDescent="0.35">
      <c r="B9" s="51" t="s">
        <v>124</v>
      </c>
      <c r="C9" s="30"/>
    </row>
    <row r="10" spans="2:3" x14ac:dyDescent="0.35">
      <c r="B10" s="51" t="s">
        <v>214</v>
      </c>
      <c r="C10" s="30"/>
    </row>
    <row r="11" spans="2:3" x14ac:dyDescent="0.35">
      <c r="B11" s="51" t="s">
        <v>135</v>
      </c>
      <c r="C11" s="30"/>
    </row>
    <row r="12" spans="2:3" x14ac:dyDescent="0.35">
      <c r="B12" s="51" t="s">
        <v>136</v>
      </c>
      <c r="C12" s="30"/>
    </row>
    <row r="13" spans="2:3" ht="29" x14ac:dyDescent="0.35">
      <c r="B13" s="51" t="s">
        <v>672</v>
      </c>
      <c r="C13" s="30"/>
    </row>
    <row r="14" spans="2:3" x14ac:dyDescent="0.35">
      <c r="B14" s="53" t="s">
        <v>184</v>
      </c>
      <c r="C14" s="30"/>
    </row>
    <row r="15" spans="2:3" x14ac:dyDescent="0.35">
      <c r="B15" s="53" t="s">
        <v>185</v>
      </c>
      <c r="C15" s="30"/>
    </row>
    <row r="16" spans="2:3" x14ac:dyDescent="0.35">
      <c r="B16" s="53" t="s">
        <v>186</v>
      </c>
      <c r="C16" s="30"/>
    </row>
    <row r="17" spans="2:3" x14ac:dyDescent="0.35">
      <c r="B17" s="53" t="s">
        <v>187</v>
      </c>
      <c r="C17" s="30"/>
    </row>
    <row r="18" spans="2:3" x14ac:dyDescent="0.35">
      <c r="B18" s="107" t="s">
        <v>624</v>
      </c>
      <c r="C18" s="30"/>
    </row>
    <row r="19" spans="2:3" x14ac:dyDescent="0.35">
      <c r="B19" s="51" t="s">
        <v>188</v>
      </c>
      <c r="C19" s="30"/>
    </row>
    <row r="20" spans="2:3" x14ac:dyDescent="0.35">
      <c r="B20" s="51" t="s">
        <v>673</v>
      </c>
      <c r="C20" s="30"/>
    </row>
    <row r="21" spans="2:3" x14ac:dyDescent="0.35">
      <c r="B21" s="54" t="s">
        <v>189</v>
      </c>
      <c r="C21" s="30"/>
    </row>
    <row r="22" spans="2:3" x14ac:dyDescent="0.35">
      <c r="B22" s="54" t="s">
        <v>190</v>
      </c>
      <c r="C22" s="30"/>
    </row>
    <row r="23" spans="2:3" x14ac:dyDescent="0.35">
      <c r="B23" s="54" t="s">
        <v>674</v>
      </c>
      <c r="C23" s="30"/>
    </row>
    <row r="24" spans="2:3" x14ac:dyDescent="0.35">
      <c r="B24" s="51" t="s">
        <v>191</v>
      </c>
      <c r="C24" s="30"/>
    </row>
    <row r="25" spans="2:3" x14ac:dyDescent="0.35">
      <c r="B25" s="51" t="s">
        <v>247</v>
      </c>
      <c r="C25" s="30"/>
    </row>
    <row r="26" spans="2:3" x14ac:dyDescent="0.35">
      <c r="B26" s="51" t="s">
        <v>192</v>
      </c>
      <c r="C26" s="30"/>
    </row>
    <row r="27" spans="2:3" x14ac:dyDescent="0.35">
      <c r="B27" s="51" t="s">
        <v>193</v>
      </c>
      <c r="C27" s="30"/>
    </row>
    <row r="28" spans="2:3" x14ac:dyDescent="0.35">
      <c r="B28" s="51"/>
      <c r="C28" s="30"/>
    </row>
    <row r="29" spans="2:3" ht="15.5" x14ac:dyDescent="0.35">
      <c r="B29" s="55" t="s">
        <v>200</v>
      </c>
      <c r="C29" s="30"/>
    </row>
    <row r="30" spans="2:3" x14ac:dyDescent="0.35">
      <c r="B30" s="51" t="s">
        <v>627</v>
      </c>
      <c r="C30" s="30"/>
    </row>
    <row r="31" spans="2:3" ht="43.5" x14ac:dyDescent="0.35">
      <c r="B31" s="51" t="s">
        <v>675</v>
      </c>
      <c r="C31" s="30"/>
    </row>
    <row r="32" spans="2:3" x14ac:dyDescent="0.35">
      <c r="B32" s="51" t="s">
        <v>625</v>
      </c>
      <c r="C32" s="30"/>
    </row>
    <row r="33" spans="2:3" ht="72.5" x14ac:dyDescent="0.35">
      <c r="B33" s="109" t="s">
        <v>634</v>
      </c>
      <c r="C33" s="30"/>
    </row>
    <row r="34" spans="2:3" x14ac:dyDescent="0.35">
      <c r="B34" s="108" t="s">
        <v>626</v>
      </c>
      <c r="C34" s="30"/>
    </row>
    <row r="35" spans="2:3" x14ac:dyDescent="0.35">
      <c r="B35" s="108"/>
      <c r="C35" s="30"/>
    </row>
    <row r="36" spans="2:3" ht="15.5" x14ac:dyDescent="0.35">
      <c r="B36" s="55" t="s">
        <v>636</v>
      </c>
      <c r="C36" s="30"/>
    </row>
    <row r="37" spans="2:3" x14ac:dyDescent="0.35">
      <c r="B37" s="108" t="s">
        <v>629</v>
      </c>
      <c r="C37" s="30"/>
    </row>
    <row r="38" spans="2:3" ht="29" x14ac:dyDescent="0.35">
      <c r="B38" s="108" t="s">
        <v>630</v>
      </c>
      <c r="C38" s="30"/>
    </row>
    <row r="39" spans="2:3" ht="29" x14ac:dyDescent="0.35">
      <c r="B39" s="108" t="s">
        <v>631</v>
      </c>
      <c r="C39" s="30"/>
    </row>
    <row r="40" spans="2:3" x14ac:dyDescent="0.35">
      <c r="B40" s="108" t="s">
        <v>632</v>
      </c>
      <c r="C40" s="30"/>
    </row>
    <row r="41" spans="2:3" x14ac:dyDescent="0.35">
      <c r="B41" s="108" t="s">
        <v>633</v>
      </c>
      <c r="C41" s="30"/>
    </row>
    <row r="42" spans="2:3" ht="18.5" x14ac:dyDescent="0.35">
      <c r="B42" s="52" t="s">
        <v>194</v>
      </c>
      <c r="C42" s="30"/>
    </row>
    <row r="43" spans="2:3" x14ac:dyDescent="0.35">
      <c r="B43" s="51" t="s">
        <v>195</v>
      </c>
      <c r="C43" s="30"/>
    </row>
    <row r="44" spans="2:3" x14ac:dyDescent="0.35">
      <c r="B44" s="63" t="s">
        <v>676</v>
      </c>
      <c r="C44" s="30"/>
    </row>
    <row r="45" spans="2:3" x14ac:dyDescent="0.35">
      <c r="B45" s="63" t="s">
        <v>677</v>
      </c>
      <c r="C45" s="30"/>
    </row>
    <row r="46" spans="2:3" x14ac:dyDescent="0.35">
      <c r="B46" s="63" t="s">
        <v>196</v>
      </c>
      <c r="C46" s="30"/>
    </row>
    <row r="47" spans="2:3" x14ac:dyDescent="0.35">
      <c r="B47" s="63" t="s">
        <v>197</v>
      </c>
      <c r="C47" s="30"/>
    </row>
    <row r="48" spans="2:3" x14ac:dyDescent="0.35">
      <c r="B48" s="63" t="s">
        <v>678</v>
      </c>
      <c r="C48" s="30"/>
    </row>
    <row r="49" spans="2:3" x14ac:dyDescent="0.35">
      <c r="B49" s="51"/>
      <c r="C49" s="30"/>
    </row>
    <row r="50" spans="2:3" ht="15.5" x14ac:dyDescent="0.35">
      <c r="B50" s="55" t="s">
        <v>198</v>
      </c>
      <c r="C50" s="30"/>
    </row>
    <row r="51" spans="2:3" x14ac:dyDescent="0.35">
      <c r="B51" s="51" t="s">
        <v>638</v>
      </c>
      <c r="C51" s="30"/>
    </row>
    <row r="52" spans="2:3" x14ac:dyDescent="0.35">
      <c r="B52" s="56" t="s">
        <v>679</v>
      </c>
      <c r="C52" s="30"/>
    </row>
    <row r="53" spans="2:3" x14ac:dyDescent="0.35">
      <c r="B53" s="51" t="s">
        <v>199</v>
      </c>
      <c r="C53" s="30"/>
    </row>
    <row r="54" spans="2:3" ht="29" x14ac:dyDescent="0.35">
      <c r="B54" s="121" t="s">
        <v>680</v>
      </c>
      <c r="C54" s="30"/>
    </row>
    <row r="55" spans="2:3" ht="29" x14ac:dyDescent="0.35">
      <c r="B55" s="121" t="s">
        <v>681</v>
      </c>
      <c r="C55" s="30"/>
    </row>
    <row r="56" spans="2:3" ht="29" x14ac:dyDescent="0.35">
      <c r="B56" s="63" t="s">
        <v>635</v>
      </c>
      <c r="C56" s="30"/>
    </row>
    <row r="57" spans="2:3" x14ac:dyDescent="0.35">
      <c r="B57" s="51" t="s">
        <v>682</v>
      </c>
      <c r="C57" s="30"/>
    </row>
    <row r="58" spans="2:3" x14ac:dyDescent="0.35">
      <c r="B58" s="51"/>
      <c r="C58" s="30"/>
    </row>
    <row r="59" spans="2:3" ht="15.5" x14ac:dyDescent="0.35">
      <c r="B59" s="55" t="s">
        <v>200</v>
      </c>
      <c r="C59" s="30"/>
    </row>
    <row r="60" spans="2:3" x14ac:dyDescent="0.35">
      <c r="B60" s="51" t="s">
        <v>637</v>
      </c>
      <c r="C60" s="30"/>
    </row>
    <row r="61" spans="2:3" x14ac:dyDescent="0.35">
      <c r="B61" s="57" t="s">
        <v>201</v>
      </c>
      <c r="C61" s="30"/>
    </row>
    <row r="62" spans="2:3" x14ac:dyDescent="0.35">
      <c r="B62" s="57"/>
      <c r="C62" s="30"/>
    </row>
    <row r="63" spans="2:3" ht="15.5" x14ac:dyDescent="0.35">
      <c r="B63" s="55" t="s">
        <v>636</v>
      </c>
      <c r="C63" s="30"/>
    </row>
    <row r="64" spans="2:3" x14ac:dyDescent="0.35">
      <c r="B64" s="51" t="s">
        <v>645</v>
      </c>
      <c r="C64" s="30"/>
    </row>
    <row r="65" spans="2:3" x14ac:dyDescent="0.35">
      <c r="B65" s="51" t="s">
        <v>639</v>
      </c>
      <c r="C65" s="30"/>
    </row>
    <row r="66" spans="2:3" x14ac:dyDescent="0.35">
      <c r="B66" s="51" t="s">
        <v>640</v>
      </c>
      <c r="C66" s="30"/>
    </row>
    <row r="67" spans="2:3" x14ac:dyDescent="0.35">
      <c r="B67" s="51" t="s">
        <v>641</v>
      </c>
      <c r="C67" s="30"/>
    </row>
    <row r="68" spans="2:3" x14ac:dyDescent="0.35">
      <c r="B68" s="51" t="s">
        <v>642</v>
      </c>
      <c r="C68" s="30"/>
    </row>
    <row r="69" spans="2:3" x14ac:dyDescent="0.35">
      <c r="B69" s="51"/>
      <c r="C69" s="30"/>
    </row>
    <row r="70" spans="2:3" ht="18.5" x14ac:dyDescent="0.35">
      <c r="B70" s="52" t="s">
        <v>643</v>
      </c>
      <c r="C70" s="30"/>
    </row>
    <row r="71" spans="2:3" ht="18.5" x14ac:dyDescent="0.35">
      <c r="B71" s="58"/>
      <c r="C71" s="30"/>
    </row>
    <row r="72" spans="2:3" x14ac:dyDescent="0.35">
      <c r="B72" s="51" t="s">
        <v>644</v>
      </c>
      <c r="C72" s="30"/>
    </row>
    <row r="73" spans="2:3" x14ac:dyDescent="0.35">
      <c r="B73" s="51"/>
      <c r="C73" s="30"/>
    </row>
    <row r="74" spans="2:3" ht="18.5" x14ac:dyDescent="0.35">
      <c r="B74" s="58" t="s">
        <v>202</v>
      </c>
      <c r="C74" s="30"/>
    </row>
    <row r="75" spans="2:3" x14ac:dyDescent="0.35">
      <c r="B75" s="51" t="s">
        <v>646</v>
      </c>
      <c r="C75" s="30"/>
    </row>
    <row r="76" spans="2:3" ht="29" x14ac:dyDescent="0.35">
      <c r="B76" s="51" t="s">
        <v>203</v>
      </c>
      <c r="C76" s="30"/>
    </row>
    <row r="77" spans="2:3" x14ac:dyDescent="0.35">
      <c r="B77" s="51" t="s">
        <v>204</v>
      </c>
      <c r="C77" s="30"/>
    </row>
    <row r="78" spans="2:3" ht="29" x14ac:dyDescent="0.35">
      <c r="B78" s="51" t="s">
        <v>205</v>
      </c>
      <c r="C78" s="30"/>
    </row>
    <row r="79" spans="2:3" x14ac:dyDescent="0.35">
      <c r="B79" s="51" t="s">
        <v>647</v>
      </c>
      <c r="C79" s="30"/>
    </row>
    <row r="80" spans="2:3" x14ac:dyDescent="0.35">
      <c r="B80" s="51"/>
      <c r="C80" s="30"/>
    </row>
    <row r="81" spans="1:3" ht="23.5" x14ac:dyDescent="0.35">
      <c r="B81" s="59" t="s">
        <v>212</v>
      </c>
      <c r="C81" s="30"/>
    </row>
    <row r="82" spans="1:3" ht="29.5" thickBot="1" x14ac:dyDescent="0.4">
      <c r="B82" s="60" t="s">
        <v>206</v>
      </c>
      <c r="C82" s="30"/>
    </row>
    <row r="83" spans="1:3" x14ac:dyDescent="0.35">
      <c r="C83" s="30"/>
    </row>
    <row r="84" spans="1:3" s="24" customFormat="1" hidden="1" x14ac:dyDescent="0.35">
      <c r="A84" s="30"/>
    </row>
    <row r="85" spans="1:3" s="24" customFormat="1" hidden="1" x14ac:dyDescent="0.35">
      <c r="A85" s="30"/>
    </row>
    <row r="86" spans="1:3" s="24" customFormat="1" hidden="1" x14ac:dyDescent="0.35">
      <c r="A86" s="30"/>
    </row>
    <row r="87" spans="1:3" s="24" customFormat="1" hidden="1" x14ac:dyDescent="0.35">
      <c r="A87" s="30"/>
    </row>
    <row r="88" spans="1:3" s="24" customFormat="1" hidden="1" x14ac:dyDescent="0.35">
      <c r="A88" s="30"/>
    </row>
    <row r="89" spans="1:3" s="24" customFormat="1" hidden="1" x14ac:dyDescent="0.35">
      <c r="A89" s="30"/>
    </row>
    <row r="90" spans="1:3" s="24" customFormat="1" hidden="1" x14ac:dyDescent="0.35">
      <c r="A90" s="30"/>
    </row>
    <row r="91" spans="1:3" s="24" customFormat="1" hidden="1" x14ac:dyDescent="0.35">
      <c r="A91" s="30"/>
    </row>
    <row r="92" spans="1:3" s="24" customFormat="1" hidden="1" x14ac:dyDescent="0.35">
      <c r="A92" s="30"/>
    </row>
    <row r="93" spans="1:3" s="24" customFormat="1" hidden="1" x14ac:dyDescent="0.35">
      <c r="A93" s="30"/>
    </row>
    <row r="94" spans="1:3" s="24" customFormat="1" hidden="1" x14ac:dyDescent="0.35">
      <c r="A94" s="30"/>
    </row>
    <row r="95" spans="1:3" s="24" customFormat="1" hidden="1" x14ac:dyDescent="0.35">
      <c r="A95" s="30"/>
    </row>
    <row r="96" spans="1:3" s="24" customFormat="1" hidden="1" x14ac:dyDescent="0.35">
      <c r="A96" s="30"/>
    </row>
    <row r="97" spans="1:1" s="24" customFormat="1" hidden="1" x14ac:dyDescent="0.35">
      <c r="A97" s="30"/>
    </row>
    <row r="98" spans="1:1" s="24" customFormat="1" hidden="1" x14ac:dyDescent="0.35">
      <c r="A98" s="30"/>
    </row>
    <row r="99" spans="1:1" s="24" customFormat="1" hidden="1" x14ac:dyDescent="0.35">
      <c r="A99" s="30"/>
    </row>
    <row r="100" spans="1:1" s="24" customFormat="1" hidden="1" x14ac:dyDescent="0.35">
      <c r="A100" s="30"/>
    </row>
    <row r="101" spans="1:1" s="24" customFormat="1" hidden="1" x14ac:dyDescent="0.35">
      <c r="A101" s="30"/>
    </row>
    <row r="102" spans="1:1" s="24" customFormat="1" hidden="1" x14ac:dyDescent="0.35">
      <c r="A102" s="30"/>
    </row>
    <row r="103" spans="1:1" s="24" customFormat="1" hidden="1" x14ac:dyDescent="0.35">
      <c r="A103" s="30"/>
    </row>
    <row r="104" spans="1:1" s="24" customFormat="1" hidden="1" x14ac:dyDescent="0.35">
      <c r="A104" s="30"/>
    </row>
    <row r="105" spans="1:1" s="24" customFormat="1" hidden="1" x14ac:dyDescent="0.35">
      <c r="A105" s="30"/>
    </row>
    <row r="106" spans="1:1" s="24" customFormat="1" hidden="1" x14ac:dyDescent="0.35">
      <c r="A106" s="30"/>
    </row>
    <row r="107" spans="1:1" s="24" customFormat="1" hidden="1" x14ac:dyDescent="0.35">
      <c r="A107" s="30"/>
    </row>
    <row r="108" spans="1:1" s="24" customFormat="1" hidden="1" x14ac:dyDescent="0.35">
      <c r="A108" s="30"/>
    </row>
    <row r="109" spans="1:1" s="24" customFormat="1" hidden="1" x14ac:dyDescent="0.35">
      <c r="A109" s="30"/>
    </row>
    <row r="110" spans="1:1" s="24" customFormat="1" hidden="1" x14ac:dyDescent="0.35">
      <c r="A110" s="30"/>
    </row>
    <row r="111" spans="1:1" s="24" customFormat="1" hidden="1" x14ac:dyDescent="0.35">
      <c r="A111" s="30"/>
    </row>
    <row r="112" spans="1:1" s="24" customFormat="1" hidden="1" x14ac:dyDescent="0.35">
      <c r="A112" s="30"/>
    </row>
    <row r="113" spans="1:1" s="24" customFormat="1" hidden="1" x14ac:dyDescent="0.35">
      <c r="A113" s="30"/>
    </row>
    <row r="114" spans="1:1" s="24" customFormat="1" hidden="1" x14ac:dyDescent="0.35">
      <c r="A114" s="30"/>
    </row>
    <row r="115" spans="1:1" s="24" customFormat="1" hidden="1" x14ac:dyDescent="0.35">
      <c r="A115" s="30"/>
    </row>
    <row r="116" spans="1:1" s="24" customFormat="1" hidden="1" x14ac:dyDescent="0.35">
      <c r="A116" s="30"/>
    </row>
    <row r="117" spans="1:1" s="24" customFormat="1" hidden="1" x14ac:dyDescent="0.35">
      <c r="A117" s="30"/>
    </row>
    <row r="118" spans="1:1" s="24" customFormat="1" hidden="1" x14ac:dyDescent="0.35">
      <c r="A118" s="30"/>
    </row>
    <row r="119" spans="1:1" s="24" customFormat="1" hidden="1" x14ac:dyDescent="0.35">
      <c r="A119" s="30"/>
    </row>
    <row r="120" spans="1:1" s="24" customFormat="1" hidden="1" x14ac:dyDescent="0.35">
      <c r="A120" s="30"/>
    </row>
    <row r="121" spans="1:1" s="24" customFormat="1" hidden="1" x14ac:dyDescent="0.35">
      <c r="A121" s="30"/>
    </row>
  </sheetData>
  <sheetProtection selectLockedCells="1"/>
  <mergeCells count="1">
    <mergeCell ref="B3:B4"/>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zoomScale="55" zoomScaleNormal="55" workbookViewId="0">
      <selection activeCell="I12" sqref="I12"/>
    </sheetView>
  </sheetViews>
  <sheetFormatPr defaultColWidth="0" defaultRowHeight="14.5" zeroHeight="1" x14ac:dyDescent="0.35"/>
  <cols>
    <col min="1" max="1" width="5.54296875" style="299" customWidth="1"/>
    <col min="2" max="2" width="45.7265625" style="299" customWidth="1"/>
    <col min="3" max="4" width="18.7265625" style="299" customWidth="1"/>
    <col min="5" max="5" width="35.81640625" style="299" customWidth="1"/>
    <col min="6" max="7" width="33.81640625" style="299" customWidth="1"/>
    <col min="8" max="8" width="18.7265625" style="299" customWidth="1"/>
    <col min="9" max="9" width="23.81640625" style="299" customWidth="1"/>
    <col min="10" max="16384" width="18.7265625" style="299" hidden="1"/>
  </cols>
  <sheetData>
    <row r="1" spans="2:8" ht="15" thickBot="1" x14ac:dyDescent="0.4"/>
    <row r="2" spans="2:8" ht="15.75" customHeight="1" x14ac:dyDescent="0.35">
      <c r="B2" s="842" t="str">
        <f>Language!A68</f>
        <v>Indicaciones de uso:
Completar información de cada celda en blanco - si no conocidos, algunos resultados no aparecerán</v>
      </c>
      <c r="C2" s="843"/>
      <c r="D2" s="843"/>
      <c r="E2" s="844"/>
    </row>
    <row r="3" spans="2:8" ht="15" thickBot="1" x14ac:dyDescent="0.4">
      <c r="B3" s="845"/>
      <c r="C3" s="846"/>
      <c r="D3" s="846"/>
      <c r="E3" s="847"/>
    </row>
    <row r="4" spans="2:8" ht="15" thickBot="1" x14ac:dyDescent="0.4"/>
    <row r="5" spans="2:8" ht="21.75" customHeight="1" x14ac:dyDescent="0.35">
      <c r="B5" s="833" t="str">
        <f>Language!A69</f>
        <v>Ingreso de datos base</v>
      </c>
      <c r="C5" s="834"/>
      <c r="D5" s="834"/>
      <c r="E5" s="834"/>
      <c r="F5" s="834"/>
      <c r="G5" s="834"/>
      <c r="H5" s="835"/>
    </row>
    <row r="6" spans="2:8" x14ac:dyDescent="0.35">
      <c r="B6" s="836"/>
      <c r="C6" s="837"/>
      <c r="D6" s="837"/>
      <c r="E6" s="837"/>
      <c r="F6" s="837"/>
      <c r="G6" s="837"/>
      <c r="H6" s="838"/>
    </row>
    <row r="7" spans="2:8" ht="15" thickBot="1" x14ac:dyDescent="0.4">
      <c r="B7" s="839"/>
      <c r="C7" s="840"/>
      <c r="D7" s="840"/>
      <c r="E7" s="840"/>
      <c r="F7" s="840"/>
      <c r="G7" s="840"/>
      <c r="H7" s="841"/>
    </row>
    <row r="8" spans="2:8" ht="46" x14ac:dyDescent="0.35">
      <c r="B8" s="848" t="str">
        <f>Language!$A$70</f>
        <v>Entidad gestora</v>
      </c>
      <c r="C8" s="849"/>
      <c r="D8" s="849"/>
      <c r="E8" s="849"/>
      <c r="F8" s="150"/>
      <c r="G8" s="311"/>
      <c r="H8" s="312"/>
    </row>
    <row r="9" spans="2:8" ht="18.5" x14ac:dyDescent="0.35">
      <c r="B9" s="828" t="str">
        <f>Language!$A$71</f>
        <v>Ciudad</v>
      </c>
      <c r="C9" s="829"/>
      <c r="D9" s="829"/>
      <c r="E9" s="829"/>
      <c r="F9" s="73"/>
      <c r="G9" s="313"/>
      <c r="H9" s="314"/>
    </row>
    <row r="10" spans="2:8" ht="18.5" x14ac:dyDescent="0.35">
      <c r="B10" s="828" t="str">
        <f>Language!$A$72</f>
        <v>Presupuesto anual [$$$/año]</v>
      </c>
      <c r="C10" s="829"/>
      <c r="D10" s="829"/>
      <c r="E10" s="829"/>
      <c r="F10" s="334"/>
      <c r="G10" s="315"/>
      <c r="H10" s="314"/>
    </row>
    <row r="11" spans="2:8" ht="18.5" x14ac:dyDescent="0.35">
      <c r="B11" s="828" t="str">
        <f>Language!$A$76</f>
        <v>Recolección diferenciada</v>
      </c>
      <c r="C11" s="829"/>
      <c r="D11" s="829"/>
      <c r="E11" s="829"/>
      <c r="F11" s="72"/>
      <c r="G11" s="316"/>
      <c r="H11" s="317"/>
    </row>
    <row r="12" spans="2:8" ht="18.5" x14ac:dyDescent="0.35">
      <c r="B12" s="828" t="str">
        <f>Language!$A$77</f>
        <v>Gestión de orgánicos</v>
      </c>
      <c r="C12" s="829"/>
      <c r="D12" s="829"/>
      <c r="E12" s="829"/>
      <c r="F12" s="72"/>
      <c r="G12" s="316"/>
      <c r="H12" s="317"/>
    </row>
    <row r="13" spans="2:8" ht="18.5" x14ac:dyDescent="0.35">
      <c r="B13" s="828" t="str">
        <f>Language!$A$78</f>
        <v>Gestión de reciclables</v>
      </c>
      <c r="C13" s="829"/>
      <c r="D13" s="829"/>
      <c r="E13" s="829"/>
      <c r="F13" s="72"/>
      <c r="G13" s="316"/>
      <c r="H13" s="317"/>
    </row>
    <row r="14" spans="2:8" ht="18.5" x14ac:dyDescent="0.35">
      <c r="B14" s="828" t="str">
        <f>Language!$A$79</f>
        <v>Gestión de disposición final</v>
      </c>
      <c r="C14" s="829"/>
      <c r="D14" s="829"/>
      <c r="E14" s="829"/>
      <c r="F14" s="72"/>
      <c r="G14" s="316"/>
      <c r="H14" s="317"/>
    </row>
    <row r="15" spans="2:8" ht="18.5" x14ac:dyDescent="0.35">
      <c r="B15" s="828" t="str">
        <f>Language!$A$94</f>
        <v>Distancia total acumulada recorrida por los vehículos de recolección por año [km/año]</v>
      </c>
      <c r="C15" s="829"/>
      <c r="D15" s="829"/>
      <c r="E15" s="829"/>
      <c r="F15" s="95"/>
      <c r="G15" s="318"/>
      <c r="H15" s="317"/>
    </row>
    <row r="16" spans="2:8" ht="15.5" x14ac:dyDescent="0.35">
      <c r="B16" s="319"/>
      <c r="C16" s="320"/>
      <c r="D16" s="320"/>
      <c r="E16" s="320"/>
      <c r="F16" s="321"/>
      <c r="G16" s="321"/>
      <c r="H16" s="317"/>
    </row>
    <row r="17" spans="2:9" ht="15.75" customHeight="1" x14ac:dyDescent="0.35">
      <c r="B17" s="319"/>
      <c r="C17" s="320"/>
      <c r="D17" s="320"/>
      <c r="E17" s="824" t="str">
        <f>Language!$A$95</f>
        <v>Si conocidos, puede ingresar información del sector formal y del sector informal. Los datos del sector informal serán presentados gráficamente pero no serán tomados en consideración para cálculos de eficiencia o costos.</v>
      </c>
      <c r="F17" s="824"/>
      <c r="G17" s="824"/>
      <c r="H17" s="825"/>
    </row>
    <row r="18" spans="2:9" ht="15.5" x14ac:dyDescent="0.35">
      <c r="B18" s="319"/>
      <c r="C18" s="322"/>
      <c r="D18" s="322"/>
      <c r="E18" s="824"/>
      <c r="F18" s="824"/>
      <c r="G18" s="824"/>
      <c r="H18" s="825"/>
    </row>
    <row r="19" spans="2:9" ht="15.5" x14ac:dyDescent="0.35">
      <c r="B19" s="319"/>
      <c r="C19" s="322"/>
      <c r="D19" s="322"/>
      <c r="E19" s="824"/>
      <c r="F19" s="824"/>
      <c r="G19" s="824"/>
      <c r="H19" s="825"/>
    </row>
    <row r="20" spans="2:9" ht="15.5" x14ac:dyDescent="0.35">
      <c r="B20" s="319"/>
      <c r="C20" s="322"/>
      <c r="D20" s="322"/>
      <c r="E20" s="323"/>
      <c r="F20" s="323"/>
      <c r="G20" s="323"/>
      <c r="H20" s="317"/>
    </row>
    <row r="21" spans="2:9" ht="15.5" x14ac:dyDescent="0.35">
      <c r="B21" s="319"/>
      <c r="C21" s="320"/>
      <c r="D21" s="320"/>
      <c r="E21" s="320"/>
      <c r="F21" s="321" t="str">
        <f>Language!$A$96</f>
        <v>Sector formal</v>
      </c>
      <c r="G21" s="321" t="str">
        <f>Language!$A$97</f>
        <v>Sector informal</v>
      </c>
      <c r="H21" s="317"/>
    </row>
    <row r="22" spans="2:9" ht="18.5" x14ac:dyDescent="0.35">
      <c r="B22" s="850" t="str">
        <f>Language!$A$98</f>
        <v>Peso de los residuos sólidos recolectados por año incluyendo desechos, reciclable y orgánicos [t/año]</v>
      </c>
      <c r="C22" s="851"/>
      <c r="D22" s="851"/>
      <c r="E22" s="851"/>
      <c r="F22" s="96"/>
      <c r="G22" s="292"/>
      <c r="H22" s="317"/>
    </row>
    <row r="23" spans="2:9" ht="18.5" x14ac:dyDescent="0.35">
      <c r="B23" s="828" t="str">
        <f>Language!$A$99</f>
        <v>Peso de los residuos orgánicos recolectados y tratados por año [t/año]</v>
      </c>
      <c r="C23" s="829"/>
      <c r="D23" s="829"/>
      <c r="E23" s="829"/>
      <c r="F23" s="96"/>
      <c r="G23" s="96"/>
      <c r="H23" s="317"/>
      <c r="I23" s="324"/>
    </row>
    <row r="24" spans="2:9" ht="18.5" x14ac:dyDescent="0.35">
      <c r="B24" s="828" t="str">
        <f>Language!$A$100</f>
        <v>Peso de los residuos reciclables recolectados y tratados o que entran cadena de reciclaje por año [t/año]</v>
      </c>
      <c r="C24" s="829"/>
      <c r="D24" s="829"/>
      <c r="E24" s="829"/>
      <c r="F24" s="95"/>
      <c r="G24" s="95"/>
      <c r="H24" s="317"/>
    </row>
    <row r="25" spans="2:9" ht="18.5" x14ac:dyDescent="0.35">
      <c r="B25" s="828" t="str">
        <f>Language!$A$101</f>
        <v>Peso de los residuos sólidos depositados en sitio de disposición final por año [t/año]</v>
      </c>
      <c r="C25" s="829"/>
      <c r="D25" s="829"/>
      <c r="E25" s="829"/>
      <c r="F25" s="291"/>
      <c r="G25" s="291"/>
      <c r="H25" s="317"/>
    </row>
    <row r="26" spans="2:9" ht="15.5" x14ac:dyDescent="0.35">
      <c r="B26" s="319"/>
      <c r="C26" s="320"/>
      <c r="D26" s="320"/>
      <c r="E26" s="320"/>
      <c r="F26" s="321"/>
      <c r="G26" s="321"/>
      <c r="H26" s="317"/>
    </row>
    <row r="27" spans="2:9" ht="18.5" x14ac:dyDescent="0.35">
      <c r="B27" s="828" t="str">
        <f>Language!$A$102</f>
        <v>Longitud total de las vías pavimentadas de la zona de cobertura [km]</v>
      </c>
      <c r="C27" s="829"/>
      <c r="D27" s="829"/>
      <c r="E27" s="829"/>
      <c r="F27" s="95"/>
      <c r="G27" s="318"/>
      <c r="H27" s="317"/>
    </row>
    <row r="28" spans="2:9" ht="18.5" x14ac:dyDescent="0.35">
      <c r="B28" s="828" t="str">
        <f>Language!$A$103</f>
        <v>Longitud total de vías pavimentadas con servicio de barrido [km]</v>
      </c>
      <c r="C28" s="829"/>
      <c r="D28" s="829"/>
      <c r="E28" s="829"/>
      <c r="F28" s="95"/>
      <c r="G28" s="318"/>
      <c r="H28" s="317"/>
    </row>
    <row r="29" spans="2:9" ht="18.5" x14ac:dyDescent="0.35">
      <c r="B29" s="828" t="str">
        <f>Language!$A$104</f>
        <v>Longitud total acumulada de vías pavimentadas barridas por año [km/año]</v>
      </c>
      <c r="C29" s="829"/>
      <c r="D29" s="829"/>
      <c r="E29" s="829"/>
      <c r="F29" s="95"/>
      <c r="G29" s="318"/>
      <c r="H29" s="317"/>
    </row>
    <row r="30" spans="2:9" ht="18.5" x14ac:dyDescent="0.35">
      <c r="B30" s="828" t="str">
        <f>Language!$A$105</f>
        <v>Superficie total de áreas públicas [m2]</v>
      </c>
      <c r="C30" s="829"/>
      <c r="D30" s="829"/>
      <c r="E30" s="829"/>
      <c r="F30" s="95"/>
      <c r="G30" s="318"/>
      <c r="H30" s="317"/>
    </row>
    <row r="31" spans="2:9" ht="18.5" x14ac:dyDescent="0.35">
      <c r="B31" s="828" t="str">
        <f>Language!$A$106</f>
        <v>Superficie total de áreas públicas con servicio de barrido/limpieza urbana [m2]</v>
      </c>
      <c r="C31" s="829"/>
      <c r="D31" s="829"/>
      <c r="E31" s="829"/>
      <c r="F31" s="95"/>
      <c r="G31" s="318"/>
      <c r="H31" s="317"/>
    </row>
    <row r="32" spans="2:9" ht="18.5" x14ac:dyDescent="0.35">
      <c r="B32" s="828" t="str">
        <f>Language!$A$107</f>
        <v>Superficie total acumulada de áreas públicas limpiadas por año [m2/año]</v>
      </c>
      <c r="C32" s="829"/>
      <c r="D32" s="829"/>
      <c r="E32" s="829"/>
      <c r="F32" s="95"/>
      <c r="G32" s="318"/>
      <c r="H32" s="317"/>
    </row>
    <row r="33" spans="2:8" ht="18.5" x14ac:dyDescent="0.35">
      <c r="B33" s="828" t="str">
        <f>Language!$A$108</f>
        <v>Total de empleadas/os de servicio de barrido de vías</v>
      </c>
      <c r="C33" s="829"/>
      <c r="D33" s="829"/>
      <c r="E33" s="829"/>
      <c r="F33" s="95"/>
      <c r="G33" s="318"/>
      <c r="H33" s="317"/>
    </row>
    <row r="34" spans="2:8" ht="18.5" x14ac:dyDescent="0.35">
      <c r="B34" s="828" t="str">
        <f>Language!$A$109</f>
        <v>Total de empleadas/os de servicio de barrido áreas públicas</v>
      </c>
      <c r="C34" s="829"/>
      <c r="D34" s="829"/>
      <c r="E34" s="829"/>
      <c r="F34" s="95"/>
      <c r="G34" s="318"/>
      <c r="H34" s="317"/>
    </row>
    <row r="35" spans="2:8" ht="18.5" x14ac:dyDescent="0.35">
      <c r="B35" s="828" t="str">
        <f>Language!$A$110</f>
        <v>Total de empleadas/os servicio de recolección primaria</v>
      </c>
      <c r="C35" s="829"/>
      <c r="D35" s="829"/>
      <c r="E35" s="829"/>
      <c r="F35" s="95"/>
      <c r="G35" s="318"/>
      <c r="H35" s="317"/>
    </row>
    <row r="36" spans="2:8" ht="18.5" x14ac:dyDescent="0.35">
      <c r="B36" s="828" t="str">
        <f>Language!$A$111</f>
        <v>Total de empleadas/os servicio de recolección segundaria</v>
      </c>
      <c r="C36" s="829"/>
      <c r="D36" s="829"/>
      <c r="E36" s="829"/>
      <c r="F36" s="95"/>
      <c r="G36" s="318"/>
      <c r="H36" s="317"/>
    </row>
    <row r="37" spans="2:8" ht="18.5" x14ac:dyDescent="0.35">
      <c r="B37" s="828" t="str">
        <f>Language!$A$112</f>
        <v>Total de empleadas/os de transferencia y transporte (si hay estación de transferencia)</v>
      </c>
      <c r="C37" s="829"/>
      <c r="D37" s="829"/>
      <c r="E37" s="829"/>
      <c r="F37" s="95"/>
      <c r="G37" s="318"/>
      <c r="H37" s="317"/>
    </row>
    <row r="38" spans="2:8" ht="18.5" x14ac:dyDescent="0.35">
      <c r="B38" s="828" t="str">
        <f>Language!$A$113</f>
        <v>Total de camiones del servicio de recolección</v>
      </c>
      <c r="C38" s="829"/>
      <c r="D38" s="829"/>
      <c r="E38" s="829"/>
      <c r="F38" s="95"/>
      <c r="G38" s="318"/>
      <c r="H38" s="317"/>
    </row>
    <row r="39" spans="2:8" ht="19" thickBot="1" x14ac:dyDescent="0.4">
      <c r="B39" s="830" t="str">
        <f>Language!$A$114</f>
        <v>Total de camiones del servicio de transferencia</v>
      </c>
      <c r="C39" s="831"/>
      <c r="D39" s="831"/>
      <c r="E39" s="831"/>
      <c r="F39" s="151"/>
      <c r="G39" s="325"/>
      <c r="H39" s="326"/>
    </row>
    <row r="40" spans="2:8" x14ac:dyDescent="0.35"/>
    <row r="41" spans="2:8" x14ac:dyDescent="0.35">
      <c r="B41" s="832" t="str">
        <f>Language!A853</f>
        <v>Opcional: si completa esta parte, se verán en los resultados Fig. 5: Comparación de los costos actuales con los costos típicos de gestión de residuos para diferentes niveles de renta de los países</v>
      </c>
      <c r="C41" s="832"/>
      <c r="D41" s="832"/>
      <c r="E41" s="832"/>
    </row>
    <row r="42" spans="2:8" ht="15" thickBot="1" x14ac:dyDescent="0.4">
      <c r="B42" s="832"/>
      <c r="C42" s="832"/>
      <c r="D42" s="832"/>
      <c r="E42" s="832"/>
    </row>
    <row r="43" spans="2:8" ht="15.5" x14ac:dyDescent="0.35">
      <c r="B43" s="327"/>
      <c r="C43" s="826" t="str">
        <f>Language!$A$854</f>
        <v>Costos típicos del país</v>
      </c>
      <c r="D43" s="827"/>
    </row>
    <row r="44" spans="2:8" ht="15.5" x14ac:dyDescent="0.35">
      <c r="B44" s="328"/>
      <c r="C44" s="329" t="str">
        <f>Language!$A$855</f>
        <v>Valor mínimo</v>
      </c>
      <c r="D44" s="330" t="str">
        <f>Language!$A$856</f>
        <v>Valor máximo</v>
      </c>
    </row>
    <row r="45" spans="2:8" ht="15.5" x14ac:dyDescent="0.35">
      <c r="B45" s="331" t="str">
        <f>Language!$A$858</f>
        <v>Barrido/Limpieza urbana [$$$/ton]</v>
      </c>
      <c r="C45" s="335"/>
      <c r="D45" s="336"/>
    </row>
    <row r="46" spans="2:8" ht="15.5" x14ac:dyDescent="0.35">
      <c r="B46" s="331" t="str">
        <f>Language!$A$859</f>
        <v>Recolección y transporte [$$$/ton]</v>
      </c>
      <c r="C46" s="335"/>
      <c r="D46" s="336"/>
    </row>
    <row r="47" spans="2:8" ht="15.5" x14ac:dyDescent="0.35">
      <c r="B47" s="331" t="str">
        <f>Language!$A$860</f>
        <v>Botadero [$$$/ton]</v>
      </c>
      <c r="C47" s="335"/>
      <c r="D47" s="336"/>
    </row>
    <row r="48" spans="2:8" ht="15.5" x14ac:dyDescent="0.35">
      <c r="B48" s="331" t="str">
        <f>Language!$A$861</f>
        <v>Relleno sanitario [B$$$/ton]</v>
      </c>
      <c r="C48" s="335"/>
      <c r="D48" s="336"/>
    </row>
    <row r="49" spans="2:9" ht="15.5" x14ac:dyDescent="0.35">
      <c r="B49" s="331" t="str">
        <f>Language!$A$862</f>
        <v>Compostaje [$$$/ton]</v>
      </c>
      <c r="C49" s="335"/>
      <c r="D49" s="336"/>
    </row>
    <row r="50" spans="2:9" ht="16" thickBot="1" x14ac:dyDescent="0.4">
      <c r="B50" s="332" t="str">
        <f>Language!$A$863</f>
        <v>Incineración [$$$/ton]</v>
      </c>
      <c r="C50" s="337"/>
      <c r="D50" s="338"/>
    </row>
    <row r="51" spans="2:9" x14ac:dyDescent="0.35"/>
    <row r="52" spans="2:9" hidden="1" x14ac:dyDescent="0.35">
      <c r="I52" s="333"/>
    </row>
    <row r="53" spans="2:9" hidden="1" x14ac:dyDescent="0.35">
      <c r="I53" s="333"/>
    </row>
    <row r="54" spans="2:9" hidden="1" x14ac:dyDescent="0.35">
      <c r="I54" s="333"/>
    </row>
    <row r="55" spans="2:9" hidden="1" x14ac:dyDescent="0.35">
      <c r="I55" s="333"/>
    </row>
    <row r="56" spans="2:9" hidden="1" x14ac:dyDescent="0.35">
      <c r="I56" s="333"/>
    </row>
    <row r="57" spans="2:9" hidden="1" x14ac:dyDescent="0.35">
      <c r="I57" s="333"/>
    </row>
    <row r="58" spans="2:9" hidden="1" x14ac:dyDescent="0.35">
      <c r="I58" s="333"/>
    </row>
    <row r="59" spans="2:9" hidden="1" x14ac:dyDescent="0.35">
      <c r="I59" s="333"/>
    </row>
    <row r="60" spans="2:9" hidden="1" x14ac:dyDescent="0.35">
      <c r="I60" s="333"/>
    </row>
    <row r="61" spans="2:9" hidden="1" x14ac:dyDescent="0.35">
      <c r="I61" s="333"/>
    </row>
  </sheetData>
  <sheetProtection algorithmName="SHA-512" hashValue="cFr2BaDR4AFVik7NFloqZgEWLJqqYIsMfL6sPiVlFvIeKC46OaYmb8MF7cnBBYxDQQdc5iR6DY9buNWUfb+vkg==" saltValue="sre2/IVn7UPrbQWBaqTxXg==" spinCount="100000" sheet="1" formatCells="0" formatColumns="0" formatRows="0" insertColumns="0" insertRows="0" insertHyperlinks="0" deleteColumns="0" deleteRows="0" sort="0" autoFilter="0" pivotTables="0"/>
  <mergeCells count="30">
    <mergeCell ref="B5:H7"/>
    <mergeCell ref="B2:E3"/>
    <mergeCell ref="B28:E28"/>
    <mergeCell ref="B27:E27"/>
    <mergeCell ref="B11:E11"/>
    <mergeCell ref="B25:E25"/>
    <mergeCell ref="B8:E8"/>
    <mergeCell ref="B14:E14"/>
    <mergeCell ref="B10:E10"/>
    <mergeCell ref="B9:E9"/>
    <mergeCell ref="B15:E15"/>
    <mergeCell ref="B23:E23"/>
    <mergeCell ref="B24:E24"/>
    <mergeCell ref="B22:E22"/>
    <mergeCell ref="B13:E13"/>
    <mergeCell ref="B12:E12"/>
    <mergeCell ref="E17:H19"/>
    <mergeCell ref="C43:D43"/>
    <mergeCell ref="B38:E38"/>
    <mergeCell ref="B39:E39"/>
    <mergeCell ref="B29:E29"/>
    <mergeCell ref="B36:E36"/>
    <mergeCell ref="B33:E33"/>
    <mergeCell ref="B35:E35"/>
    <mergeCell ref="B34:E34"/>
    <mergeCell ref="B30:E30"/>
    <mergeCell ref="B31:E31"/>
    <mergeCell ref="B32:E32"/>
    <mergeCell ref="B37:E37"/>
    <mergeCell ref="B41:E42"/>
  </mergeCells>
  <dataValidations count="2">
    <dataValidation allowBlank="1" showInputMessage="1" showErrorMessage="1" promptTitle="ATTENCION" prompt="Total de organicos entrantes a planta, menos las impuresas que se descartan a sitio de disposición final si hubieran." sqref="F23:G23"/>
    <dataValidation allowBlank="1" showInputMessage="1" showErrorMessage="1" promptTitle="ATTENCION" prompt="Ingresar monto aprovechado en planta, no es el total ingresado a la planta, sino el total aprovechado, se debe sustraer cualquier monto que se descarte en planta y envié a sitio de disposición final." sqref="F24:G2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Language!$A$45:$A$46</xm:f>
          </x14:formula1>
          <xm:sqref>F11</xm:sqref>
        </x14:dataValidation>
        <x14:dataValidation type="list" allowBlank="1" showInputMessage="1" showErrorMessage="1">
          <x14:formula1>
            <xm:f>Language!$A$80:$A$84</xm:f>
          </x14:formula1>
          <xm:sqref>F12</xm:sqref>
        </x14:dataValidation>
        <x14:dataValidation type="list" allowBlank="1" showInputMessage="1" showErrorMessage="1">
          <x14:formula1>
            <xm:f>Language!$A$85:$A$88</xm:f>
          </x14:formula1>
          <xm:sqref>F13</xm:sqref>
        </x14:dataValidation>
        <x14:dataValidation type="list" allowBlank="1" showInputMessage="1" showErrorMessage="1">
          <x14:formula1>
            <xm:f>Language!$A$89:$A$93</xm:f>
          </x14:formula1>
          <xm:sqref>F14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5" tint="0.59999389629810485"/>
  </sheetPr>
  <dimension ref="A1:P975"/>
  <sheetViews>
    <sheetView zoomScale="70" zoomScaleNormal="70" workbookViewId="0">
      <selection activeCell="C954" activeCellId="6" sqref="C905:G919 C922:H941 C944:H950 H951 G951 C951:F951 C954:F965"/>
    </sheetView>
  </sheetViews>
  <sheetFormatPr defaultColWidth="0" defaultRowHeight="14.5" zeroHeight="1" x14ac:dyDescent="0.35"/>
  <cols>
    <col min="1" max="1" width="7" style="301" customWidth="1"/>
    <col min="2" max="2" width="33" style="301" customWidth="1"/>
    <col min="3" max="3" width="76.453125" style="301" customWidth="1"/>
    <col min="4" max="4" width="36.81640625" style="301" customWidth="1"/>
    <col min="5" max="5" width="30.26953125" style="301" customWidth="1"/>
    <col min="6" max="6" width="23.26953125" style="465" customWidth="1"/>
    <col min="7" max="7" width="28.81640625" style="301" customWidth="1"/>
    <col min="8" max="8" width="37.453125" style="301" customWidth="1"/>
    <col min="9" max="9" width="29.54296875" style="301" customWidth="1"/>
    <col min="10" max="10" width="23.54296875" style="465" customWidth="1"/>
    <col min="11" max="11" width="23.54296875" style="357" customWidth="1"/>
    <col min="12" max="12" width="19.26953125" style="301" hidden="1" customWidth="1"/>
    <col min="13" max="13" width="59.26953125" style="301" hidden="1" customWidth="1"/>
    <col min="14" max="16" width="23.81640625" style="301" hidden="1" customWidth="1"/>
    <col min="17" max="16384" width="11.453125" style="301" hidden="1"/>
  </cols>
  <sheetData>
    <row r="1" spans="1:15" s="339" customFormat="1" ht="21.5" thickBot="1" x14ac:dyDescent="0.4">
      <c r="B1" s="340"/>
      <c r="C1" s="341"/>
      <c r="D1" s="341"/>
      <c r="E1" s="341"/>
      <c r="F1" s="341"/>
      <c r="G1" s="341"/>
      <c r="H1" s="341"/>
      <c r="I1" s="341"/>
      <c r="J1" s="341"/>
      <c r="K1" s="341"/>
    </row>
    <row r="2" spans="1:15" s="339" customFormat="1" ht="21" customHeight="1" x14ac:dyDescent="0.35">
      <c r="B2" s="852" t="str">
        <f>Language!A15</f>
        <v>Indicaciones de uso:
Ingresar y completar información en las casillas de fondo blanco.
Son 4 cuadros: 1) Prestación de servicio, 2) Administración, 3) Planificación y fiscalización, 4) Educación y comunicación
Si necesario, modificar títulos de líneas. Los valores actualmente ingresados son ficticios y se deben de modificar. Las líneas de muestra no son exhaustivas, ingresar lo faltante.</v>
      </c>
      <c r="C2" s="853"/>
      <c r="D2" s="853"/>
      <c r="E2" s="854"/>
      <c r="F2" s="341"/>
      <c r="G2" s="341"/>
      <c r="H2" s="341"/>
      <c r="I2" s="341"/>
      <c r="J2" s="341"/>
      <c r="K2" s="341"/>
    </row>
    <row r="3" spans="1:15" s="339" customFormat="1" ht="21" customHeight="1" x14ac:dyDescent="0.35">
      <c r="B3" s="855"/>
      <c r="C3" s="856"/>
      <c r="D3" s="856"/>
      <c r="E3" s="857"/>
      <c r="F3" s="341"/>
      <c r="G3" s="341"/>
      <c r="H3" s="341"/>
      <c r="I3" s="341"/>
      <c r="J3" s="341"/>
      <c r="K3" s="341"/>
    </row>
    <row r="4" spans="1:15" s="339" customFormat="1" ht="21" customHeight="1" x14ac:dyDescent="0.35">
      <c r="B4" s="855"/>
      <c r="C4" s="856"/>
      <c r="D4" s="856"/>
      <c r="E4" s="857"/>
      <c r="F4" s="341"/>
      <c r="G4" s="341"/>
      <c r="H4" s="341"/>
      <c r="I4" s="341"/>
      <c r="J4" s="341"/>
      <c r="K4" s="341"/>
    </row>
    <row r="5" spans="1:15" s="339" customFormat="1" ht="21" customHeight="1" thickBot="1" x14ac:dyDescent="0.4">
      <c r="B5" s="858"/>
      <c r="C5" s="859"/>
      <c r="D5" s="859"/>
      <c r="E5" s="860"/>
      <c r="F5" s="341"/>
      <c r="G5" s="341"/>
      <c r="H5" s="341"/>
      <c r="I5" s="341"/>
      <c r="J5" s="341"/>
      <c r="K5" s="341"/>
    </row>
    <row r="6" spans="1:15" s="339" customFormat="1" ht="21.5" thickBot="1" x14ac:dyDescent="0.4">
      <c r="B6" s="340"/>
      <c r="C6" s="341"/>
      <c r="D6" s="341"/>
      <c r="E6" s="341"/>
      <c r="F6" s="341"/>
      <c r="G6" s="341"/>
      <c r="H6" s="341"/>
      <c r="I6" s="341"/>
      <c r="J6" s="341"/>
      <c r="K6" s="341"/>
    </row>
    <row r="7" spans="1:15" s="339" customFormat="1" ht="47.25" customHeight="1" thickBot="1" x14ac:dyDescent="0.4">
      <c r="B7" s="814" t="str">
        <f>Language!A16</f>
        <v>Ingreso de costos del servicio de gestión de los residuos sólidos</v>
      </c>
      <c r="C7" s="815"/>
      <c r="D7" s="815"/>
      <c r="E7" s="815"/>
      <c r="F7" s="815"/>
      <c r="G7" s="815"/>
      <c r="H7" s="815"/>
      <c r="I7" s="815"/>
      <c r="J7" s="816"/>
      <c r="K7" s="342"/>
    </row>
    <row r="8" spans="1:15" ht="46.5" customHeight="1" thickBot="1" x14ac:dyDescent="0.4">
      <c r="A8" s="299"/>
      <c r="B8" s="880" t="str">
        <f>Language!A17</f>
        <v>Prestación del servicio</v>
      </c>
      <c r="C8" s="884" t="str">
        <f>Language!A18</f>
        <v>Personal</v>
      </c>
      <c r="D8" s="884"/>
      <c r="E8" s="884"/>
      <c r="F8" s="884"/>
      <c r="G8" s="884"/>
      <c r="H8" s="884"/>
      <c r="I8" s="884"/>
      <c r="J8" s="885"/>
      <c r="K8" s="343"/>
      <c r="L8" s="301" t="s">
        <v>103</v>
      </c>
      <c r="M8" s="301" t="s">
        <v>5</v>
      </c>
      <c r="N8" s="301" t="s">
        <v>1</v>
      </c>
    </row>
    <row r="9" spans="1:15" ht="48" customHeight="1" thickBot="1" x14ac:dyDescent="0.4">
      <c r="A9" s="299"/>
      <c r="B9" s="881"/>
      <c r="C9" s="344" t="s">
        <v>303</v>
      </c>
      <c r="D9" s="345" t="str">
        <f>Language!A19</f>
        <v>Cantidad de personas empleadas en cargo específico</v>
      </c>
      <c r="E9" s="346" t="str">
        <f>Language!A20</f>
        <v>Dedicación a la prestación del servicio de gestión de los residuos sólidos [%]</v>
      </c>
      <c r="F9" s="347" t="str">
        <f>Language!A21</f>
        <v>Salario anual [$$$/año]</v>
      </c>
      <c r="G9" s="345" t="str">
        <f>Language!A22</f>
        <v>Beneficios sociales y seguros [$$$/año]</v>
      </c>
      <c r="H9" s="348" t="s">
        <v>301</v>
      </c>
      <c r="I9" s="348" t="s">
        <v>302</v>
      </c>
      <c r="J9" s="349" t="str">
        <f>Language!A23</f>
        <v>Costo total por año [$$$/año]</v>
      </c>
      <c r="K9" s="350"/>
      <c r="O9" s="351" t="s">
        <v>143</v>
      </c>
    </row>
    <row r="10" spans="1:15" x14ac:dyDescent="0.35">
      <c r="A10" s="299"/>
      <c r="B10" s="881"/>
      <c r="C10" s="352" t="str">
        <f>Language!A24</f>
        <v>Barrido de vías y áreas públicas</v>
      </c>
      <c r="D10" s="353"/>
      <c r="E10" s="353"/>
      <c r="F10" s="354"/>
      <c r="G10" s="353"/>
      <c r="H10" s="355"/>
      <c r="I10" s="355"/>
      <c r="J10" s="356"/>
      <c r="O10" s="351"/>
    </row>
    <row r="11" spans="1:15" x14ac:dyDescent="0.35">
      <c r="A11" s="299"/>
      <c r="B11" s="881"/>
      <c r="C11" s="124" t="s">
        <v>683</v>
      </c>
      <c r="D11" s="4">
        <v>1</v>
      </c>
      <c r="E11" s="5">
        <v>1</v>
      </c>
      <c r="F11" s="21">
        <v>1000000</v>
      </c>
      <c r="G11" s="122"/>
      <c r="H11" s="358"/>
      <c r="I11" s="358"/>
      <c r="J11" s="359">
        <f>D11*E11*(F11+G11)</f>
        <v>1000000</v>
      </c>
      <c r="O11" s="351"/>
    </row>
    <row r="12" spans="1:15" x14ac:dyDescent="0.35">
      <c r="A12" s="299"/>
      <c r="B12" s="881"/>
      <c r="C12" s="124" t="s">
        <v>684</v>
      </c>
      <c r="D12" s="4">
        <v>0</v>
      </c>
      <c r="E12" s="5">
        <v>1</v>
      </c>
      <c r="F12" s="21">
        <v>0</v>
      </c>
      <c r="G12" s="122"/>
      <c r="H12" s="358"/>
      <c r="I12" s="358"/>
      <c r="J12" s="359">
        <f t="shared" ref="J12:J75" si="0">D12*E12*(F12+G12)</f>
        <v>0</v>
      </c>
      <c r="O12" s="351"/>
    </row>
    <row r="13" spans="1:15" x14ac:dyDescent="0.35">
      <c r="A13" s="299"/>
      <c r="B13" s="881"/>
      <c r="C13" s="124" t="s">
        <v>685</v>
      </c>
      <c r="D13" s="4">
        <v>0</v>
      </c>
      <c r="E13" s="5">
        <v>1</v>
      </c>
      <c r="F13" s="21">
        <v>0</v>
      </c>
      <c r="G13" s="122"/>
      <c r="H13" s="358"/>
      <c r="I13" s="358"/>
      <c r="J13" s="359">
        <f t="shared" si="0"/>
        <v>0</v>
      </c>
      <c r="O13" s="351" t="s">
        <v>100</v>
      </c>
    </row>
    <row r="14" spans="1:15" x14ac:dyDescent="0.35">
      <c r="A14" s="299"/>
      <c r="B14" s="881"/>
      <c r="C14" s="124" t="s">
        <v>690</v>
      </c>
      <c r="D14" s="4">
        <v>0</v>
      </c>
      <c r="E14" s="5">
        <v>1</v>
      </c>
      <c r="F14" s="21">
        <v>0</v>
      </c>
      <c r="G14" s="122"/>
      <c r="H14" s="358"/>
      <c r="I14" s="358"/>
      <c r="J14" s="359">
        <f t="shared" si="0"/>
        <v>0</v>
      </c>
      <c r="O14" s="351" t="s">
        <v>101</v>
      </c>
    </row>
    <row r="15" spans="1:15" x14ac:dyDescent="0.35">
      <c r="A15" s="299"/>
      <c r="B15" s="881"/>
      <c r="C15" s="124" t="s">
        <v>125</v>
      </c>
      <c r="D15" s="4">
        <v>0</v>
      </c>
      <c r="E15" s="5">
        <v>1</v>
      </c>
      <c r="F15" s="21">
        <v>0</v>
      </c>
      <c r="G15" s="122"/>
      <c r="H15" s="358"/>
      <c r="I15" s="358"/>
      <c r="J15" s="359">
        <f t="shared" si="0"/>
        <v>0</v>
      </c>
      <c r="O15" s="351"/>
    </row>
    <row r="16" spans="1:15" x14ac:dyDescent="0.35">
      <c r="A16" s="299"/>
      <c r="B16" s="881"/>
      <c r="C16" s="124" t="s">
        <v>125</v>
      </c>
      <c r="D16" s="4">
        <v>0</v>
      </c>
      <c r="E16" s="5">
        <v>1</v>
      </c>
      <c r="F16" s="21">
        <v>0</v>
      </c>
      <c r="G16" s="122"/>
      <c r="H16" s="358"/>
      <c r="I16" s="358"/>
      <c r="J16" s="359">
        <f t="shared" si="0"/>
        <v>0</v>
      </c>
      <c r="O16" s="351"/>
    </row>
    <row r="17" spans="1:15" x14ac:dyDescent="0.35">
      <c r="A17" s="299"/>
      <c r="B17" s="881"/>
      <c r="C17" s="124" t="s">
        <v>125</v>
      </c>
      <c r="D17" s="4"/>
      <c r="E17" s="5"/>
      <c r="F17" s="21"/>
      <c r="G17" s="122"/>
      <c r="H17" s="358"/>
      <c r="I17" s="358"/>
      <c r="J17" s="359">
        <f t="shared" si="0"/>
        <v>0</v>
      </c>
      <c r="O17" s="351"/>
    </row>
    <row r="18" spans="1:15" x14ac:dyDescent="0.35">
      <c r="A18" s="299"/>
      <c r="B18" s="881"/>
      <c r="C18" s="124"/>
      <c r="D18" s="4"/>
      <c r="E18" s="5"/>
      <c r="F18" s="115"/>
      <c r="G18" s="122"/>
      <c r="H18" s="358"/>
      <c r="I18" s="358"/>
      <c r="J18" s="359">
        <f t="shared" si="0"/>
        <v>0</v>
      </c>
      <c r="O18" s="351"/>
    </row>
    <row r="19" spans="1:15" x14ac:dyDescent="0.35">
      <c r="A19" s="299"/>
      <c r="B19" s="881"/>
      <c r="C19" s="124"/>
      <c r="D19" s="4"/>
      <c r="E19" s="5"/>
      <c r="F19" s="47"/>
      <c r="G19" s="122"/>
      <c r="H19" s="358"/>
      <c r="I19" s="358"/>
      <c r="J19" s="359">
        <f t="shared" si="0"/>
        <v>0</v>
      </c>
      <c r="O19" s="351"/>
    </row>
    <row r="20" spans="1:15" x14ac:dyDescent="0.35">
      <c r="A20" s="299"/>
      <c r="B20" s="881"/>
      <c r="C20" s="124"/>
      <c r="D20" s="4"/>
      <c r="E20" s="5"/>
      <c r="F20" s="21"/>
      <c r="G20" s="122"/>
      <c r="H20" s="358"/>
      <c r="I20" s="358"/>
      <c r="J20" s="359">
        <f t="shared" si="0"/>
        <v>0</v>
      </c>
    </row>
    <row r="21" spans="1:15" x14ac:dyDescent="0.35">
      <c r="A21" s="299"/>
      <c r="B21" s="881"/>
      <c r="C21" s="124"/>
      <c r="D21" s="4"/>
      <c r="E21" s="5"/>
      <c r="F21" s="21"/>
      <c r="G21" s="122"/>
      <c r="H21" s="358"/>
      <c r="I21" s="358"/>
      <c r="J21" s="359">
        <f t="shared" si="0"/>
        <v>0</v>
      </c>
    </row>
    <row r="22" spans="1:15" x14ac:dyDescent="0.35">
      <c r="A22" s="299"/>
      <c r="B22" s="881"/>
      <c r="C22" s="124"/>
      <c r="D22" s="4"/>
      <c r="E22" s="5"/>
      <c r="F22" s="21"/>
      <c r="G22" s="122"/>
      <c r="H22" s="358"/>
      <c r="I22" s="358"/>
      <c r="J22" s="359">
        <f t="shared" si="0"/>
        <v>0</v>
      </c>
    </row>
    <row r="23" spans="1:15" x14ac:dyDescent="0.35">
      <c r="A23" s="299"/>
      <c r="B23" s="881"/>
      <c r="C23" s="124"/>
      <c r="D23" s="4"/>
      <c r="E23" s="5"/>
      <c r="F23" s="21"/>
      <c r="G23" s="122"/>
      <c r="H23" s="358"/>
      <c r="I23" s="358"/>
      <c r="J23" s="359">
        <f>D23*E23*(F23+G23)</f>
        <v>0</v>
      </c>
    </row>
    <row r="24" spans="1:15" x14ac:dyDescent="0.35">
      <c r="A24" s="299"/>
      <c r="B24" s="881"/>
      <c r="C24" s="124"/>
      <c r="D24" s="4"/>
      <c r="E24" s="5"/>
      <c r="F24" s="47"/>
      <c r="G24" s="122"/>
      <c r="H24" s="358"/>
      <c r="I24" s="358"/>
      <c r="J24" s="359">
        <f t="shared" si="0"/>
        <v>0</v>
      </c>
    </row>
    <row r="25" spans="1:15" x14ac:dyDescent="0.35">
      <c r="A25" s="299"/>
      <c r="B25" s="881"/>
      <c r="C25" s="124"/>
      <c r="D25" s="4"/>
      <c r="E25" s="5"/>
      <c r="F25" s="21"/>
      <c r="G25" s="122"/>
      <c r="H25" s="358"/>
      <c r="I25" s="358"/>
      <c r="J25" s="359">
        <f t="shared" si="0"/>
        <v>0</v>
      </c>
    </row>
    <row r="26" spans="1:15" x14ac:dyDescent="0.35">
      <c r="A26" s="299"/>
      <c r="B26" s="881"/>
      <c r="C26" s="124"/>
      <c r="D26" s="4"/>
      <c r="E26" s="5"/>
      <c r="F26" s="21"/>
      <c r="G26" s="122"/>
      <c r="H26" s="358"/>
      <c r="I26" s="358"/>
      <c r="J26" s="359">
        <f t="shared" si="0"/>
        <v>0</v>
      </c>
    </row>
    <row r="27" spans="1:15" x14ac:dyDescent="0.35">
      <c r="A27" s="299"/>
      <c r="B27" s="881"/>
      <c r="C27" s="124"/>
      <c r="D27" s="4"/>
      <c r="E27" s="5"/>
      <c r="F27" s="21"/>
      <c r="G27" s="122"/>
      <c r="H27" s="358"/>
      <c r="I27" s="358"/>
      <c r="J27" s="359">
        <f t="shared" si="0"/>
        <v>0</v>
      </c>
    </row>
    <row r="28" spans="1:15" x14ac:dyDescent="0.35">
      <c r="A28" s="299"/>
      <c r="B28" s="881"/>
      <c r="C28" s="352" t="str">
        <f>Language!A25</f>
        <v>Taller de mantenimiento</v>
      </c>
      <c r="D28" s="353"/>
      <c r="E28" s="353"/>
      <c r="F28" s="354"/>
      <c r="G28" s="353"/>
      <c r="H28" s="355"/>
      <c r="I28" s="355"/>
      <c r="J28" s="356"/>
    </row>
    <row r="29" spans="1:15" x14ac:dyDescent="0.35">
      <c r="A29" s="299"/>
      <c r="B29" s="881"/>
      <c r="C29" s="124" t="s">
        <v>687</v>
      </c>
      <c r="D29" s="4">
        <v>1</v>
      </c>
      <c r="E29" s="5">
        <v>1</v>
      </c>
      <c r="F29" s="21">
        <v>1000000</v>
      </c>
      <c r="G29" s="122"/>
      <c r="H29" s="358"/>
      <c r="I29" s="358"/>
      <c r="J29" s="359">
        <f t="shared" si="0"/>
        <v>1000000</v>
      </c>
    </row>
    <row r="30" spans="1:15" x14ac:dyDescent="0.35">
      <c r="A30" s="299"/>
      <c r="B30" s="881"/>
      <c r="C30" s="124" t="s">
        <v>688</v>
      </c>
      <c r="D30" s="4">
        <v>0</v>
      </c>
      <c r="E30" s="5">
        <v>1</v>
      </c>
      <c r="F30" s="21">
        <v>0</v>
      </c>
      <c r="G30" s="122"/>
      <c r="H30" s="358"/>
      <c r="I30" s="358"/>
      <c r="J30" s="359">
        <f t="shared" si="0"/>
        <v>0</v>
      </c>
    </row>
    <row r="31" spans="1:15" x14ac:dyDescent="0.35">
      <c r="A31" s="299"/>
      <c r="B31" s="881"/>
      <c r="C31" s="124" t="s">
        <v>689</v>
      </c>
      <c r="D31" s="4">
        <v>0</v>
      </c>
      <c r="E31" s="5">
        <v>1</v>
      </c>
      <c r="F31" s="21">
        <v>0</v>
      </c>
      <c r="G31" s="122"/>
      <c r="H31" s="358"/>
      <c r="I31" s="358"/>
      <c r="J31" s="359">
        <f t="shared" si="0"/>
        <v>0</v>
      </c>
    </row>
    <row r="32" spans="1:15" x14ac:dyDescent="0.35">
      <c r="A32" s="299"/>
      <c r="B32" s="881"/>
      <c r="C32" s="124" t="s">
        <v>386</v>
      </c>
      <c r="D32" s="4">
        <v>0</v>
      </c>
      <c r="E32" s="5">
        <v>1</v>
      </c>
      <c r="F32" s="21">
        <v>0</v>
      </c>
      <c r="G32" s="122"/>
      <c r="H32" s="358"/>
      <c r="I32" s="358"/>
      <c r="J32" s="359">
        <f t="shared" si="0"/>
        <v>0</v>
      </c>
    </row>
    <row r="33" spans="1:10" x14ac:dyDescent="0.35">
      <c r="A33" s="299"/>
      <c r="B33" s="881"/>
      <c r="C33" s="124" t="s">
        <v>387</v>
      </c>
      <c r="D33" s="4">
        <v>0</v>
      </c>
      <c r="E33" s="5">
        <v>1</v>
      </c>
      <c r="F33" s="21">
        <v>0</v>
      </c>
      <c r="G33" s="122"/>
      <c r="H33" s="358"/>
      <c r="I33" s="358"/>
      <c r="J33" s="359">
        <f t="shared" si="0"/>
        <v>0</v>
      </c>
    </row>
    <row r="34" spans="1:10" x14ac:dyDescent="0.35">
      <c r="A34" s="299"/>
      <c r="B34" s="881"/>
      <c r="C34" s="124" t="s">
        <v>388</v>
      </c>
      <c r="D34" s="4">
        <v>0</v>
      </c>
      <c r="E34" s="5">
        <v>1</v>
      </c>
      <c r="F34" s="21">
        <v>0</v>
      </c>
      <c r="G34" s="122"/>
      <c r="H34" s="358"/>
      <c r="I34" s="358"/>
      <c r="J34" s="359">
        <f t="shared" si="0"/>
        <v>0</v>
      </c>
    </row>
    <row r="35" spans="1:10" x14ac:dyDescent="0.35">
      <c r="A35" s="299"/>
      <c r="B35" s="881"/>
      <c r="C35" s="124" t="s">
        <v>125</v>
      </c>
      <c r="D35" s="4">
        <v>0</v>
      </c>
      <c r="E35" s="5">
        <v>1</v>
      </c>
      <c r="F35" s="21">
        <v>0</v>
      </c>
      <c r="G35" s="122"/>
      <c r="H35" s="358"/>
      <c r="I35" s="358"/>
      <c r="J35" s="359">
        <f t="shared" si="0"/>
        <v>0</v>
      </c>
    </row>
    <row r="36" spans="1:10" x14ac:dyDescent="0.35">
      <c r="A36" s="299"/>
      <c r="B36" s="881"/>
      <c r="C36" s="124" t="s">
        <v>125</v>
      </c>
      <c r="D36" s="4">
        <v>0</v>
      </c>
      <c r="E36" s="5">
        <v>1</v>
      </c>
      <c r="F36" s="21">
        <v>0</v>
      </c>
      <c r="G36" s="122"/>
      <c r="H36" s="358"/>
      <c r="I36" s="358"/>
      <c r="J36" s="359">
        <f t="shared" si="0"/>
        <v>0</v>
      </c>
    </row>
    <row r="37" spans="1:10" x14ac:dyDescent="0.35">
      <c r="A37" s="299"/>
      <c r="B37" s="881"/>
      <c r="C37" s="124" t="s">
        <v>125</v>
      </c>
      <c r="D37" s="4">
        <v>0</v>
      </c>
      <c r="E37" s="5">
        <v>1</v>
      </c>
      <c r="F37" s="21">
        <v>0</v>
      </c>
      <c r="G37" s="122"/>
      <c r="H37" s="358"/>
      <c r="I37" s="358"/>
      <c r="J37" s="359">
        <f t="shared" si="0"/>
        <v>0</v>
      </c>
    </row>
    <row r="38" spans="1:10" x14ac:dyDescent="0.35">
      <c r="A38" s="299"/>
      <c r="B38" s="881"/>
      <c r="C38" s="124" t="s">
        <v>686</v>
      </c>
      <c r="D38" s="4">
        <v>0</v>
      </c>
      <c r="E38" s="5">
        <v>1</v>
      </c>
      <c r="F38" s="21">
        <v>0</v>
      </c>
      <c r="G38" s="122"/>
      <c r="H38" s="358"/>
      <c r="I38" s="358"/>
      <c r="J38" s="359">
        <f t="shared" si="0"/>
        <v>0</v>
      </c>
    </row>
    <row r="39" spans="1:10" x14ac:dyDescent="0.35">
      <c r="A39" s="299"/>
      <c r="B39" s="881"/>
      <c r="C39" s="124" t="s">
        <v>686</v>
      </c>
      <c r="D39" s="4">
        <v>0</v>
      </c>
      <c r="E39" s="5">
        <v>1</v>
      </c>
      <c r="F39" s="21">
        <v>0</v>
      </c>
      <c r="G39" s="122"/>
      <c r="H39" s="358"/>
      <c r="I39" s="358"/>
      <c r="J39" s="359">
        <f t="shared" si="0"/>
        <v>0</v>
      </c>
    </row>
    <row r="40" spans="1:10" x14ac:dyDescent="0.35">
      <c r="A40" s="299"/>
      <c r="B40" s="881"/>
      <c r="C40" s="124"/>
      <c r="D40" s="4"/>
      <c r="E40" s="5"/>
      <c r="F40" s="21"/>
      <c r="G40" s="122"/>
      <c r="H40" s="358"/>
      <c r="I40" s="358"/>
      <c r="J40" s="359">
        <f t="shared" si="0"/>
        <v>0</v>
      </c>
    </row>
    <row r="41" spans="1:10" x14ac:dyDescent="0.35">
      <c r="A41" s="299"/>
      <c r="B41" s="881"/>
      <c r="C41" s="124"/>
      <c r="D41" s="4"/>
      <c r="E41" s="5"/>
      <c r="F41" s="21"/>
      <c r="G41" s="122"/>
      <c r="H41" s="358"/>
      <c r="I41" s="358"/>
      <c r="J41" s="359">
        <f t="shared" si="0"/>
        <v>0</v>
      </c>
    </row>
    <row r="42" spans="1:10" x14ac:dyDescent="0.35">
      <c r="A42" s="299"/>
      <c r="B42" s="881"/>
      <c r="C42" s="124"/>
      <c r="D42" s="4"/>
      <c r="E42" s="5"/>
      <c r="F42" s="21"/>
      <c r="G42" s="122"/>
      <c r="H42" s="358"/>
      <c r="I42" s="358"/>
      <c r="J42" s="359">
        <f t="shared" si="0"/>
        <v>0</v>
      </c>
    </row>
    <row r="43" spans="1:10" x14ac:dyDescent="0.35">
      <c r="A43" s="299"/>
      <c r="B43" s="881"/>
      <c r="C43" s="124"/>
      <c r="D43" s="4"/>
      <c r="E43" s="5"/>
      <c r="F43" s="21"/>
      <c r="G43" s="122"/>
      <c r="H43" s="358"/>
      <c r="I43" s="358"/>
      <c r="J43" s="359">
        <f t="shared" si="0"/>
        <v>0</v>
      </c>
    </row>
    <row r="44" spans="1:10" x14ac:dyDescent="0.35">
      <c r="A44" s="299"/>
      <c r="B44" s="881"/>
      <c r="C44" s="360" t="str">
        <f>Language!A26</f>
        <v>Servicio de recolección</v>
      </c>
      <c r="D44" s="355"/>
      <c r="E44" s="355"/>
      <c r="F44" s="361"/>
      <c r="G44" s="355"/>
      <c r="H44" s="355"/>
      <c r="I44" s="355"/>
      <c r="J44" s="356"/>
    </row>
    <row r="45" spans="1:10" x14ac:dyDescent="0.35">
      <c r="A45" s="299"/>
      <c r="B45" s="881"/>
      <c r="C45" s="124" t="s">
        <v>691</v>
      </c>
      <c r="D45" s="4">
        <v>1</v>
      </c>
      <c r="E45" s="5">
        <v>1</v>
      </c>
      <c r="F45" s="21">
        <v>5000000</v>
      </c>
      <c r="G45" s="122"/>
      <c r="H45" s="358"/>
      <c r="I45" s="358"/>
      <c r="J45" s="359">
        <f t="shared" si="0"/>
        <v>5000000</v>
      </c>
    </row>
    <row r="46" spans="1:10" x14ac:dyDescent="0.35">
      <c r="A46" s="299"/>
      <c r="B46" s="881"/>
      <c r="C46" s="124" t="s">
        <v>692</v>
      </c>
      <c r="D46" s="4">
        <v>0</v>
      </c>
      <c r="E46" s="5">
        <v>1</v>
      </c>
      <c r="F46" s="21">
        <v>0</v>
      </c>
      <c r="G46" s="122"/>
      <c r="H46" s="358"/>
      <c r="I46" s="358"/>
      <c r="J46" s="359">
        <f t="shared" si="0"/>
        <v>0</v>
      </c>
    </row>
    <row r="47" spans="1:10" x14ac:dyDescent="0.35">
      <c r="A47" s="299"/>
      <c r="B47" s="881"/>
      <c r="C47" s="124" t="s">
        <v>693</v>
      </c>
      <c r="D47" s="4">
        <v>0</v>
      </c>
      <c r="E47" s="5">
        <v>1</v>
      </c>
      <c r="F47" s="21">
        <v>0</v>
      </c>
      <c r="G47" s="122"/>
      <c r="H47" s="358"/>
      <c r="I47" s="358"/>
      <c r="J47" s="359">
        <f t="shared" si="0"/>
        <v>0</v>
      </c>
    </row>
    <row r="48" spans="1:10" x14ac:dyDescent="0.35">
      <c r="A48" s="299"/>
      <c r="B48" s="881"/>
      <c r="C48" s="124" t="s">
        <v>694</v>
      </c>
      <c r="D48" s="4">
        <v>0</v>
      </c>
      <c r="E48" s="5">
        <v>1</v>
      </c>
      <c r="F48" s="21">
        <v>0</v>
      </c>
      <c r="G48" s="122"/>
      <c r="H48" s="358"/>
      <c r="I48" s="358"/>
      <c r="J48" s="359">
        <f t="shared" si="0"/>
        <v>0</v>
      </c>
    </row>
    <row r="49" spans="1:10" x14ac:dyDescent="0.35">
      <c r="A49" s="299"/>
      <c r="B49" s="881"/>
      <c r="C49" s="124" t="s">
        <v>695</v>
      </c>
      <c r="D49" s="4">
        <v>0</v>
      </c>
      <c r="E49" s="5">
        <v>1</v>
      </c>
      <c r="F49" s="21">
        <v>0</v>
      </c>
      <c r="G49" s="122"/>
      <c r="H49" s="358"/>
      <c r="I49" s="358"/>
      <c r="J49" s="359">
        <f t="shared" si="0"/>
        <v>0</v>
      </c>
    </row>
    <row r="50" spans="1:10" x14ac:dyDescent="0.35">
      <c r="A50" s="299"/>
      <c r="B50" s="881"/>
      <c r="C50" s="124" t="s">
        <v>696</v>
      </c>
      <c r="D50" s="4">
        <v>0</v>
      </c>
      <c r="E50" s="5">
        <v>1</v>
      </c>
      <c r="F50" s="21">
        <v>0</v>
      </c>
      <c r="G50" s="122"/>
      <c r="H50" s="358"/>
      <c r="I50" s="358"/>
      <c r="J50" s="359">
        <f t="shared" si="0"/>
        <v>0</v>
      </c>
    </row>
    <row r="51" spans="1:10" x14ac:dyDescent="0.35">
      <c r="A51" s="299"/>
      <c r="B51" s="881"/>
      <c r="C51" s="124" t="s">
        <v>697</v>
      </c>
      <c r="D51" s="4">
        <v>0</v>
      </c>
      <c r="E51" s="5">
        <v>1</v>
      </c>
      <c r="F51" s="21">
        <v>0</v>
      </c>
      <c r="G51" s="122"/>
      <c r="H51" s="358"/>
      <c r="I51" s="358"/>
      <c r="J51" s="359">
        <f t="shared" si="0"/>
        <v>0</v>
      </c>
    </row>
    <row r="52" spans="1:10" x14ac:dyDescent="0.35">
      <c r="A52" s="299"/>
      <c r="B52" s="881"/>
      <c r="C52" s="124" t="s">
        <v>698</v>
      </c>
      <c r="D52" s="4">
        <v>0</v>
      </c>
      <c r="E52" s="5">
        <v>1</v>
      </c>
      <c r="F52" s="21">
        <v>0</v>
      </c>
      <c r="G52" s="122"/>
      <c r="H52" s="358"/>
      <c r="I52" s="358"/>
      <c r="J52" s="359">
        <f t="shared" si="0"/>
        <v>0</v>
      </c>
    </row>
    <row r="53" spans="1:10" x14ac:dyDescent="0.35">
      <c r="A53" s="299"/>
      <c r="B53" s="881"/>
      <c r="C53" s="124" t="s">
        <v>699</v>
      </c>
      <c r="D53" s="4">
        <v>0</v>
      </c>
      <c r="E53" s="5">
        <v>1</v>
      </c>
      <c r="F53" s="21">
        <v>0</v>
      </c>
      <c r="G53" s="122"/>
      <c r="H53" s="358"/>
      <c r="I53" s="358"/>
      <c r="J53" s="359">
        <f t="shared" si="0"/>
        <v>0</v>
      </c>
    </row>
    <row r="54" spans="1:10" x14ac:dyDescent="0.35">
      <c r="A54" s="299"/>
      <c r="B54" s="881"/>
      <c r="C54" s="124" t="s">
        <v>125</v>
      </c>
      <c r="D54" s="4">
        <v>0</v>
      </c>
      <c r="E54" s="5">
        <v>1</v>
      </c>
      <c r="F54" s="21">
        <v>0</v>
      </c>
      <c r="G54" s="122"/>
      <c r="H54" s="358"/>
      <c r="I54" s="358"/>
      <c r="J54" s="359">
        <f t="shared" si="0"/>
        <v>0</v>
      </c>
    </row>
    <row r="55" spans="1:10" x14ac:dyDescent="0.35">
      <c r="A55" s="299"/>
      <c r="B55" s="881"/>
      <c r="C55" s="124" t="s">
        <v>125</v>
      </c>
      <c r="D55" s="4">
        <v>0</v>
      </c>
      <c r="E55" s="5">
        <v>1</v>
      </c>
      <c r="F55" s="21">
        <v>0</v>
      </c>
      <c r="G55" s="122"/>
      <c r="H55" s="358"/>
      <c r="I55" s="358"/>
      <c r="J55" s="359">
        <f t="shared" si="0"/>
        <v>0</v>
      </c>
    </row>
    <row r="56" spans="1:10" x14ac:dyDescent="0.35">
      <c r="A56" s="299"/>
      <c r="B56" s="881"/>
      <c r="C56" s="124" t="s">
        <v>125</v>
      </c>
      <c r="D56" s="4">
        <v>0</v>
      </c>
      <c r="E56" s="5">
        <v>1</v>
      </c>
      <c r="F56" s="21">
        <v>0</v>
      </c>
      <c r="G56" s="122"/>
      <c r="H56" s="358"/>
      <c r="I56" s="358"/>
      <c r="J56" s="359">
        <f t="shared" si="0"/>
        <v>0</v>
      </c>
    </row>
    <row r="57" spans="1:10" x14ac:dyDescent="0.35">
      <c r="A57" s="299"/>
      <c r="B57" s="881"/>
      <c r="C57" s="124" t="s">
        <v>686</v>
      </c>
      <c r="D57" s="4">
        <v>0</v>
      </c>
      <c r="E57" s="5">
        <v>1</v>
      </c>
      <c r="F57" s="21">
        <v>0</v>
      </c>
      <c r="G57" s="122"/>
      <c r="H57" s="358"/>
      <c r="I57" s="358"/>
      <c r="J57" s="359">
        <f t="shared" si="0"/>
        <v>0</v>
      </c>
    </row>
    <row r="58" spans="1:10" x14ac:dyDescent="0.35">
      <c r="A58" s="299"/>
      <c r="B58" s="881"/>
      <c r="C58" s="124" t="s">
        <v>686</v>
      </c>
      <c r="D58" s="4">
        <v>0</v>
      </c>
      <c r="E58" s="5">
        <v>1</v>
      </c>
      <c r="F58" s="21">
        <v>0</v>
      </c>
      <c r="G58" s="122"/>
      <c r="H58" s="358"/>
      <c r="I58" s="358"/>
      <c r="J58" s="359">
        <f t="shared" si="0"/>
        <v>0</v>
      </c>
    </row>
    <row r="59" spans="1:10" x14ac:dyDescent="0.35">
      <c r="A59" s="299"/>
      <c r="B59" s="881"/>
      <c r="C59" s="124" t="s">
        <v>686</v>
      </c>
      <c r="D59" s="4">
        <v>0</v>
      </c>
      <c r="E59" s="5">
        <v>1</v>
      </c>
      <c r="F59" s="21">
        <v>0</v>
      </c>
      <c r="G59" s="122"/>
      <c r="H59" s="358"/>
      <c r="I59" s="358"/>
      <c r="J59" s="359">
        <f t="shared" si="0"/>
        <v>0</v>
      </c>
    </row>
    <row r="60" spans="1:10" x14ac:dyDescent="0.35">
      <c r="A60" s="299"/>
      <c r="B60" s="881"/>
      <c r="C60" s="124" t="s">
        <v>686</v>
      </c>
      <c r="D60" s="4">
        <v>0</v>
      </c>
      <c r="E60" s="5">
        <v>1</v>
      </c>
      <c r="F60" s="21">
        <v>0</v>
      </c>
      <c r="G60" s="122"/>
      <c r="H60" s="358"/>
      <c r="I60" s="358"/>
      <c r="J60" s="359">
        <f t="shared" si="0"/>
        <v>0</v>
      </c>
    </row>
    <row r="61" spans="1:10" x14ac:dyDescent="0.35">
      <c r="A61" s="299"/>
      <c r="B61" s="881"/>
      <c r="C61" s="124" t="s">
        <v>686</v>
      </c>
      <c r="D61" s="4">
        <v>0</v>
      </c>
      <c r="E61" s="5">
        <v>1</v>
      </c>
      <c r="F61" s="21">
        <v>0</v>
      </c>
      <c r="G61" s="122"/>
      <c r="H61" s="358"/>
      <c r="I61" s="358"/>
      <c r="J61" s="359">
        <f t="shared" si="0"/>
        <v>0</v>
      </c>
    </row>
    <row r="62" spans="1:10" x14ac:dyDescent="0.35">
      <c r="A62" s="299"/>
      <c r="B62" s="881"/>
      <c r="C62" s="124" t="s">
        <v>686</v>
      </c>
      <c r="D62" s="4">
        <v>0</v>
      </c>
      <c r="E62" s="5">
        <v>1</v>
      </c>
      <c r="F62" s="21">
        <v>0</v>
      </c>
      <c r="G62" s="122"/>
      <c r="H62" s="358"/>
      <c r="I62" s="358"/>
      <c r="J62" s="359">
        <f t="shared" si="0"/>
        <v>0</v>
      </c>
    </row>
    <row r="63" spans="1:10" x14ac:dyDescent="0.35">
      <c r="A63" s="299"/>
      <c r="B63" s="881"/>
      <c r="C63" s="124" t="s">
        <v>686</v>
      </c>
      <c r="D63" s="4">
        <v>0</v>
      </c>
      <c r="E63" s="5">
        <v>1</v>
      </c>
      <c r="F63" s="21">
        <v>0</v>
      </c>
      <c r="G63" s="122"/>
      <c r="H63" s="358"/>
      <c r="I63" s="358"/>
      <c r="J63" s="359">
        <f t="shared" si="0"/>
        <v>0</v>
      </c>
    </row>
    <row r="64" spans="1:10" x14ac:dyDescent="0.35">
      <c r="A64" s="299"/>
      <c r="B64" s="881"/>
      <c r="C64" s="124" t="s">
        <v>686</v>
      </c>
      <c r="D64" s="4">
        <v>0</v>
      </c>
      <c r="E64" s="5">
        <v>1</v>
      </c>
      <c r="F64" s="21">
        <v>0</v>
      </c>
      <c r="G64" s="122"/>
      <c r="H64" s="358"/>
      <c r="I64" s="358"/>
      <c r="J64" s="359">
        <f t="shared" si="0"/>
        <v>0</v>
      </c>
    </row>
    <row r="65" spans="1:10" x14ac:dyDescent="0.35">
      <c r="A65" s="299"/>
      <c r="B65" s="881"/>
      <c r="C65" s="124" t="s">
        <v>686</v>
      </c>
      <c r="D65" s="4">
        <v>0</v>
      </c>
      <c r="E65" s="5">
        <v>1</v>
      </c>
      <c r="F65" s="21">
        <v>0</v>
      </c>
      <c r="G65" s="122"/>
      <c r="H65" s="358"/>
      <c r="I65" s="358"/>
      <c r="J65" s="359">
        <f t="shared" si="0"/>
        <v>0</v>
      </c>
    </row>
    <row r="66" spans="1:10" x14ac:dyDescent="0.35">
      <c r="A66" s="299"/>
      <c r="B66" s="881"/>
      <c r="C66" s="124" t="s">
        <v>686</v>
      </c>
      <c r="D66" s="4"/>
      <c r="E66" s="5"/>
      <c r="F66" s="21"/>
      <c r="G66" s="122"/>
      <c r="H66" s="358"/>
      <c r="I66" s="358"/>
      <c r="J66" s="359">
        <f t="shared" si="0"/>
        <v>0</v>
      </c>
    </row>
    <row r="67" spans="1:10" x14ac:dyDescent="0.35">
      <c r="A67" s="299"/>
      <c r="B67" s="881"/>
      <c r="C67" s="124"/>
      <c r="D67" s="4"/>
      <c r="E67" s="5"/>
      <c r="F67" s="21"/>
      <c r="G67" s="122"/>
      <c r="H67" s="358"/>
      <c r="I67" s="358"/>
      <c r="J67" s="359">
        <f t="shared" si="0"/>
        <v>0</v>
      </c>
    </row>
    <row r="68" spans="1:10" x14ac:dyDescent="0.35">
      <c r="A68" s="299"/>
      <c r="B68" s="881"/>
      <c r="C68" s="124"/>
      <c r="D68" s="4"/>
      <c r="E68" s="5"/>
      <c r="F68" s="21"/>
      <c r="G68" s="122"/>
      <c r="H68" s="358"/>
      <c r="I68" s="358"/>
      <c r="J68" s="359">
        <f t="shared" si="0"/>
        <v>0</v>
      </c>
    </row>
    <row r="69" spans="1:10" x14ac:dyDescent="0.35">
      <c r="A69" s="299"/>
      <c r="B69" s="881"/>
      <c r="C69" s="124"/>
      <c r="D69" s="4"/>
      <c r="E69" s="5"/>
      <c r="F69" s="21"/>
      <c r="G69" s="122"/>
      <c r="H69" s="358"/>
      <c r="I69" s="358"/>
      <c r="J69" s="359">
        <f t="shared" si="0"/>
        <v>0</v>
      </c>
    </row>
    <row r="70" spans="1:10" x14ac:dyDescent="0.35">
      <c r="A70" s="299"/>
      <c r="B70" s="881"/>
      <c r="C70" s="360" t="str">
        <f>Language!A27</f>
        <v>Planta de reciclaje</v>
      </c>
      <c r="D70" s="355"/>
      <c r="E70" s="355"/>
      <c r="F70" s="361"/>
      <c r="G70" s="355"/>
      <c r="H70" s="355"/>
      <c r="I70" s="355"/>
      <c r="J70" s="356"/>
    </row>
    <row r="71" spans="1:10" x14ac:dyDescent="0.35">
      <c r="A71" s="299"/>
      <c r="B71" s="881"/>
      <c r="C71" s="124" t="s">
        <v>700</v>
      </c>
      <c r="D71" s="4">
        <v>1</v>
      </c>
      <c r="E71" s="5">
        <v>1</v>
      </c>
      <c r="F71" s="21">
        <v>2000000</v>
      </c>
      <c r="G71" s="122"/>
      <c r="H71" s="358"/>
      <c r="I71" s="358"/>
      <c r="J71" s="359">
        <f t="shared" si="0"/>
        <v>2000000</v>
      </c>
    </row>
    <row r="72" spans="1:10" x14ac:dyDescent="0.35">
      <c r="A72" s="299"/>
      <c r="B72" s="881"/>
      <c r="C72" s="124" t="s">
        <v>701</v>
      </c>
      <c r="D72" s="4"/>
      <c r="E72" s="5"/>
      <c r="F72" s="21"/>
      <c r="G72" s="122"/>
      <c r="H72" s="358"/>
      <c r="I72" s="358"/>
      <c r="J72" s="359">
        <f t="shared" si="0"/>
        <v>0</v>
      </c>
    </row>
    <row r="73" spans="1:10" x14ac:dyDescent="0.35">
      <c r="A73" s="299"/>
      <c r="B73" s="881"/>
      <c r="C73" s="124" t="s">
        <v>702</v>
      </c>
      <c r="D73" s="4"/>
      <c r="E73" s="5"/>
      <c r="F73" s="47"/>
      <c r="G73" s="122"/>
      <c r="H73" s="358"/>
      <c r="I73" s="358"/>
      <c r="J73" s="359">
        <f t="shared" si="0"/>
        <v>0</v>
      </c>
    </row>
    <row r="74" spans="1:10" x14ac:dyDescent="0.35">
      <c r="A74" s="299"/>
      <c r="B74" s="881"/>
      <c r="C74" s="124" t="s">
        <v>705</v>
      </c>
      <c r="D74" s="4"/>
      <c r="E74" s="5"/>
      <c r="F74" s="47"/>
      <c r="G74" s="122"/>
      <c r="H74" s="358"/>
      <c r="I74" s="358"/>
      <c r="J74" s="359">
        <f t="shared" si="0"/>
        <v>0</v>
      </c>
    </row>
    <row r="75" spans="1:10" x14ac:dyDescent="0.35">
      <c r="A75" s="299"/>
      <c r="B75" s="881"/>
      <c r="C75" s="124" t="s">
        <v>125</v>
      </c>
      <c r="D75" s="4"/>
      <c r="E75" s="5"/>
      <c r="F75" s="47"/>
      <c r="G75" s="122"/>
      <c r="H75" s="358"/>
      <c r="I75" s="358"/>
      <c r="J75" s="359">
        <f t="shared" si="0"/>
        <v>0</v>
      </c>
    </row>
    <row r="76" spans="1:10" x14ac:dyDescent="0.35">
      <c r="A76" s="299"/>
      <c r="B76" s="881"/>
      <c r="C76" s="124" t="s">
        <v>125</v>
      </c>
      <c r="D76" s="4"/>
      <c r="E76" s="5"/>
      <c r="F76" s="47"/>
      <c r="G76" s="122"/>
      <c r="H76" s="358"/>
      <c r="I76" s="358"/>
      <c r="J76" s="359">
        <f t="shared" ref="J76:J133" si="1">D76*E76*(F76+G76)</f>
        <v>0</v>
      </c>
    </row>
    <row r="77" spans="1:10" x14ac:dyDescent="0.35">
      <c r="A77" s="299"/>
      <c r="B77" s="881"/>
      <c r="C77" s="124" t="s">
        <v>125</v>
      </c>
      <c r="D77" s="4"/>
      <c r="E77" s="5"/>
      <c r="F77" s="47"/>
      <c r="G77" s="122"/>
      <c r="H77" s="358"/>
      <c r="I77" s="358"/>
      <c r="J77" s="359">
        <f t="shared" si="1"/>
        <v>0</v>
      </c>
    </row>
    <row r="78" spans="1:10" x14ac:dyDescent="0.35">
      <c r="A78" s="299"/>
      <c r="B78" s="881"/>
      <c r="C78" s="124"/>
      <c r="D78" s="4"/>
      <c r="E78" s="5"/>
      <c r="F78" s="47"/>
      <c r="G78" s="122"/>
      <c r="H78" s="358"/>
      <c r="I78" s="358"/>
      <c r="J78" s="359">
        <f t="shared" si="1"/>
        <v>0</v>
      </c>
    </row>
    <row r="79" spans="1:10" x14ac:dyDescent="0.35">
      <c r="A79" s="299"/>
      <c r="B79" s="881"/>
      <c r="C79" s="124"/>
      <c r="D79" s="4"/>
      <c r="E79" s="5"/>
      <c r="F79" s="47"/>
      <c r="G79" s="122"/>
      <c r="H79" s="358"/>
      <c r="I79" s="358"/>
      <c r="J79" s="359">
        <f t="shared" si="1"/>
        <v>0</v>
      </c>
    </row>
    <row r="80" spans="1:10" x14ac:dyDescent="0.35">
      <c r="A80" s="299"/>
      <c r="B80" s="881"/>
      <c r="C80" s="124"/>
      <c r="D80" s="4"/>
      <c r="E80" s="5"/>
      <c r="F80" s="47"/>
      <c r="G80" s="122"/>
      <c r="H80" s="358"/>
      <c r="I80" s="358"/>
      <c r="J80" s="359">
        <f t="shared" si="1"/>
        <v>0</v>
      </c>
    </row>
    <row r="81" spans="1:10" x14ac:dyDescent="0.35">
      <c r="A81" s="299"/>
      <c r="B81" s="881"/>
      <c r="C81" s="124"/>
      <c r="D81" s="4"/>
      <c r="E81" s="5"/>
      <c r="F81" s="47"/>
      <c r="G81" s="122"/>
      <c r="H81" s="358"/>
      <c r="I81" s="358"/>
      <c r="J81" s="359">
        <f t="shared" si="1"/>
        <v>0</v>
      </c>
    </row>
    <row r="82" spans="1:10" x14ac:dyDescent="0.35">
      <c r="A82" s="299"/>
      <c r="B82" s="881"/>
      <c r="C82" s="124"/>
      <c r="D82" s="4"/>
      <c r="E82" s="5"/>
      <c r="F82" s="21"/>
      <c r="G82" s="122"/>
      <c r="H82" s="358"/>
      <c r="I82" s="358"/>
      <c r="J82" s="359">
        <f t="shared" si="1"/>
        <v>0</v>
      </c>
    </row>
    <row r="83" spans="1:10" x14ac:dyDescent="0.35">
      <c r="A83" s="299"/>
      <c r="B83" s="881"/>
      <c r="C83" s="124"/>
      <c r="D83" s="4"/>
      <c r="E83" s="5"/>
      <c r="F83" s="21"/>
      <c r="G83" s="122"/>
      <c r="H83" s="358"/>
      <c r="I83" s="358"/>
      <c r="J83" s="359">
        <f t="shared" si="1"/>
        <v>0</v>
      </c>
    </row>
    <row r="84" spans="1:10" x14ac:dyDescent="0.35">
      <c r="A84" s="299"/>
      <c r="B84" s="881"/>
      <c r="C84" s="124"/>
      <c r="D84" s="4"/>
      <c r="E84" s="5"/>
      <c r="F84" s="21"/>
      <c r="G84" s="122"/>
      <c r="H84" s="358"/>
      <c r="I84" s="358"/>
      <c r="J84" s="359">
        <f t="shared" si="1"/>
        <v>0</v>
      </c>
    </row>
    <row r="85" spans="1:10" x14ac:dyDescent="0.35">
      <c r="A85" s="299"/>
      <c r="B85" s="881"/>
      <c r="C85" s="124"/>
      <c r="D85" s="4"/>
      <c r="E85" s="5"/>
      <c r="F85" s="21"/>
      <c r="G85" s="122"/>
      <c r="H85" s="358"/>
      <c r="I85" s="358"/>
      <c r="J85" s="359">
        <f t="shared" si="1"/>
        <v>0</v>
      </c>
    </row>
    <row r="86" spans="1:10" x14ac:dyDescent="0.35">
      <c r="A86" s="299"/>
      <c r="B86" s="881"/>
      <c r="C86" s="360" t="str">
        <f>Language!A28</f>
        <v>Planta de compostaje</v>
      </c>
      <c r="D86" s="355"/>
      <c r="E86" s="355"/>
      <c r="F86" s="361"/>
      <c r="G86" s="355"/>
      <c r="H86" s="355"/>
      <c r="I86" s="355"/>
      <c r="J86" s="356"/>
    </row>
    <row r="87" spans="1:10" x14ac:dyDescent="0.35">
      <c r="A87" s="299"/>
      <c r="B87" s="881"/>
      <c r="C87" s="124" t="s">
        <v>703</v>
      </c>
      <c r="D87" s="4">
        <v>1</v>
      </c>
      <c r="E87" s="5">
        <v>1</v>
      </c>
      <c r="F87" s="21">
        <v>3000000</v>
      </c>
      <c r="G87" s="122"/>
      <c r="H87" s="358"/>
      <c r="I87" s="358"/>
      <c r="J87" s="359">
        <f t="shared" si="1"/>
        <v>3000000</v>
      </c>
    </row>
    <row r="88" spans="1:10" x14ac:dyDescent="0.35">
      <c r="A88" s="299"/>
      <c r="B88" s="881"/>
      <c r="C88" s="124" t="s">
        <v>704</v>
      </c>
      <c r="D88" s="4"/>
      <c r="E88" s="5"/>
      <c r="F88" s="47"/>
      <c r="G88" s="122"/>
      <c r="H88" s="358"/>
      <c r="I88" s="358"/>
      <c r="J88" s="359">
        <f t="shared" si="1"/>
        <v>0</v>
      </c>
    </row>
    <row r="89" spans="1:10" x14ac:dyDescent="0.35">
      <c r="A89" s="299"/>
      <c r="B89" s="881"/>
      <c r="C89" s="124" t="s">
        <v>706</v>
      </c>
      <c r="D89" s="4"/>
      <c r="E89" s="5"/>
      <c r="F89" s="47"/>
      <c r="G89" s="122"/>
      <c r="H89" s="358"/>
      <c r="I89" s="358"/>
      <c r="J89" s="359">
        <f t="shared" si="1"/>
        <v>0</v>
      </c>
    </row>
    <row r="90" spans="1:10" x14ac:dyDescent="0.35">
      <c r="A90" s="299"/>
      <c r="B90" s="881"/>
      <c r="C90" s="124" t="s">
        <v>125</v>
      </c>
      <c r="D90" s="4"/>
      <c r="E90" s="5"/>
      <c r="F90" s="47"/>
      <c r="G90" s="122"/>
      <c r="H90" s="358"/>
      <c r="I90" s="358"/>
      <c r="J90" s="359">
        <f t="shared" si="1"/>
        <v>0</v>
      </c>
    </row>
    <row r="91" spans="1:10" x14ac:dyDescent="0.35">
      <c r="A91" s="299"/>
      <c r="B91" s="881"/>
      <c r="C91" s="124" t="s">
        <v>125</v>
      </c>
      <c r="D91" s="4"/>
      <c r="E91" s="5"/>
      <c r="F91" s="47"/>
      <c r="G91" s="122"/>
      <c r="H91" s="358"/>
      <c r="I91" s="358"/>
      <c r="J91" s="359">
        <f t="shared" si="1"/>
        <v>0</v>
      </c>
    </row>
    <row r="92" spans="1:10" x14ac:dyDescent="0.35">
      <c r="A92" s="299"/>
      <c r="B92" s="881"/>
      <c r="C92" s="124" t="s">
        <v>125</v>
      </c>
      <c r="D92" s="4"/>
      <c r="E92" s="5"/>
      <c r="F92" s="47"/>
      <c r="G92" s="122"/>
      <c r="H92" s="358"/>
      <c r="I92" s="358"/>
      <c r="J92" s="359">
        <f t="shared" si="1"/>
        <v>0</v>
      </c>
    </row>
    <row r="93" spans="1:10" x14ac:dyDescent="0.35">
      <c r="A93" s="299"/>
      <c r="B93" s="881"/>
      <c r="C93" s="124"/>
      <c r="D93" s="4"/>
      <c r="E93" s="5"/>
      <c r="F93" s="47"/>
      <c r="G93" s="122"/>
      <c r="H93" s="358"/>
      <c r="I93" s="358"/>
      <c r="J93" s="359">
        <f t="shared" si="1"/>
        <v>0</v>
      </c>
    </row>
    <row r="94" spans="1:10" x14ac:dyDescent="0.35">
      <c r="A94" s="299"/>
      <c r="B94" s="881"/>
      <c r="C94" s="124"/>
      <c r="D94" s="4"/>
      <c r="E94" s="5"/>
      <c r="F94" s="47"/>
      <c r="G94" s="122"/>
      <c r="H94" s="358"/>
      <c r="I94" s="358"/>
      <c r="J94" s="359">
        <f t="shared" si="1"/>
        <v>0</v>
      </c>
    </row>
    <row r="95" spans="1:10" x14ac:dyDescent="0.35">
      <c r="A95" s="299"/>
      <c r="B95" s="881"/>
      <c r="C95" s="124"/>
      <c r="D95" s="4"/>
      <c r="E95" s="5"/>
      <c r="F95" s="47"/>
      <c r="G95" s="122"/>
      <c r="H95" s="358"/>
      <c r="I95" s="358"/>
      <c r="J95" s="359">
        <f t="shared" si="1"/>
        <v>0</v>
      </c>
    </row>
    <row r="96" spans="1:10" x14ac:dyDescent="0.35">
      <c r="A96" s="299"/>
      <c r="B96" s="881"/>
      <c r="C96" s="124"/>
      <c r="D96" s="4"/>
      <c r="E96" s="5"/>
      <c r="F96" s="47"/>
      <c r="G96" s="122"/>
      <c r="H96" s="358"/>
      <c r="I96" s="358"/>
      <c r="J96" s="359">
        <f t="shared" si="1"/>
        <v>0</v>
      </c>
    </row>
    <row r="97" spans="1:10" x14ac:dyDescent="0.35">
      <c r="A97" s="299"/>
      <c r="B97" s="881"/>
      <c r="C97" s="124"/>
      <c r="D97" s="4"/>
      <c r="E97" s="5"/>
      <c r="F97" s="47"/>
      <c r="G97" s="122"/>
      <c r="H97" s="358"/>
      <c r="I97" s="358"/>
      <c r="J97" s="359">
        <f t="shared" si="1"/>
        <v>0</v>
      </c>
    </row>
    <row r="98" spans="1:10" x14ac:dyDescent="0.35">
      <c r="A98" s="299"/>
      <c r="B98" s="881"/>
      <c r="C98" s="124"/>
      <c r="D98" s="4"/>
      <c r="E98" s="5"/>
      <c r="F98" s="47"/>
      <c r="G98" s="122"/>
      <c r="H98" s="358"/>
      <c r="I98" s="358"/>
      <c r="J98" s="359">
        <f t="shared" si="1"/>
        <v>0</v>
      </c>
    </row>
    <row r="99" spans="1:10" x14ac:dyDescent="0.35">
      <c r="A99" s="299"/>
      <c r="B99" s="881"/>
      <c r="C99" s="124"/>
      <c r="D99" s="4"/>
      <c r="E99" s="5"/>
      <c r="F99" s="21"/>
      <c r="G99" s="122"/>
      <c r="H99" s="358"/>
      <c r="I99" s="358"/>
      <c r="J99" s="359">
        <f t="shared" si="1"/>
        <v>0</v>
      </c>
    </row>
    <row r="100" spans="1:10" x14ac:dyDescent="0.35">
      <c r="A100" s="299"/>
      <c r="B100" s="881"/>
      <c r="C100" s="124"/>
      <c r="D100" s="4"/>
      <c r="E100" s="5"/>
      <c r="F100" s="21"/>
      <c r="G100" s="122"/>
      <c r="H100" s="358"/>
      <c r="I100" s="358"/>
      <c r="J100" s="359">
        <f t="shared" si="1"/>
        <v>0</v>
      </c>
    </row>
    <row r="101" spans="1:10" x14ac:dyDescent="0.35">
      <c r="A101" s="299"/>
      <c r="B101" s="881"/>
      <c r="C101" s="124"/>
      <c r="D101" s="4"/>
      <c r="E101" s="5"/>
      <c r="F101" s="21"/>
      <c r="G101" s="122"/>
      <c r="H101" s="358"/>
      <c r="I101" s="358"/>
      <c r="J101" s="359">
        <f t="shared" si="1"/>
        <v>0</v>
      </c>
    </row>
    <row r="102" spans="1:10" x14ac:dyDescent="0.35">
      <c r="A102" s="299"/>
      <c r="B102" s="881"/>
      <c r="C102" s="360" t="str">
        <f>Language!A29</f>
        <v>Estación de transferencia y transporte</v>
      </c>
      <c r="D102" s="355"/>
      <c r="E102" s="355"/>
      <c r="F102" s="361"/>
      <c r="G102" s="355"/>
      <c r="H102" s="355"/>
      <c r="I102" s="355"/>
      <c r="J102" s="356"/>
    </row>
    <row r="103" spans="1:10" x14ac:dyDescent="0.35">
      <c r="A103" s="299"/>
      <c r="B103" s="881"/>
      <c r="C103" s="124" t="s">
        <v>707</v>
      </c>
      <c r="D103" s="4">
        <v>1</v>
      </c>
      <c r="E103" s="5">
        <v>1</v>
      </c>
      <c r="F103" s="21">
        <v>1000000</v>
      </c>
      <c r="G103" s="122"/>
      <c r="H103" s="358"/>
      <c r="I103" s="358"/>
      <c r="J103" s="359">
        <f t="shared" si="1"/>
        <v>1000000</v>
      </c>
    </row>
    <row r="104" spans="1:10" x14ac:dyDescent="0.35">
      <c r="A104" s="299"/>
      <c r="B104" s="881"/>
      <c r="C104" s="124" t="s">
        <v>708</v>
      </c>
      <c r="D104" s="4"/>
      <c r="E104" s="5"/>
      <c r="F104" s="47"/>
      <c r="G104" s="122"/>
      <c r="H104" s="358"/>
      <c r="I104" s="358"/>
      <c r="J104" s="359">
        <f t="shared" si="1"/>
        <v>0</v>
      </c>
    </row>
    <row r="105" spans="1:10" x14ac:dyDescent="0.35">
      <c r="A105" s="299"/>
      <c r="B105" s="881"/>
      <c r="C105" s="124" t="s">
        <v>688</v>
      </c>
      <c r="D105" s="4"/>
      <c r="E105" s="5"/>
      <c r="F105" s="47"/>
      <c r="G105" s="122"/>
      <c r="H105" s="358"/>
      <c r="I105" s="358"/>
      <c r="J105" s="359">
        <f t="shared" si="1"/>
        <v>0</v>
      </c>
    </row>
    <row r="106" spans="1:10" x14ac:dyDescent="0.35">
      <c r="A106" s="299"/>
      <c r="B106" s="881"/>
      <c r="C106" s="124" t="s">
        <v>437</v>
      </c>
      <c r="D106" s="4"/>
      <c r="E106" s="5"/>
      <c r="F106" s="47"/>
      <c r="G106" s="122"/>
      <c r="H106" s="358"/>
      <c r="I106" s="358"/>
      <c r="J106" s="359">
        <f t="shared" si="1"/>
        <v>0</v>
      </c>
    </row>
    <row r="107" spans="1:10" x14ac:dyDescent="0.35">
      <c r="A107" s="299"/>
      <c r="B107" s="881"/>
      <c r="C107" s="124" t="s">
        <v>705</v>
      </c>
      <c r="D107" s="4"/>
      <c r="E107" s="5"/>
      <c r="F107" s="47"/>
      <c r="G107" s="122"/>
      <c r="H107" s="358"/>
      <c r="I107" s="358"/>
      <c r="J107" s="359">
        <f t="shared" si="1"/>
        <v>0</v>
      </c>
    </row>
    <row r="108" spans="1:10" x14ac:dyDescent="0.35">
      <c r="A108" s="299"/>
      <c r="B108" s="881"/>
      <c r="C108" s="124" t="s">
        <v>125</v>
      </c>
      <c r="D108" s="4"/>
      <c r="E108" s="5"/>
      <c r="F108" s="47"/>
      <c r="G108" s="122"/>
      <c r="H108" s="358"/>
      <c r="I108" s="358"/>
      <c r="J108" s="359">
        <f t="shared" si="1"/>
        <v>0</v>
      </c>
    </row>
    <row r="109" spans="1:10" x14ac:dyDescent="0.35">
      <c r="A109" s="299"/>
      <c r="B109" s="881"/>
      <c r="C109" s="124" t="s">
        <v>125</v>
      </c>
      <c r="D109" s="4"/>
      <c r="E109" s="5"/>
      <c r="F109" s="47"/>
      <c r="G109" s="122"/>
      <c r="H109" s="358"/>
      <c r="I109" s="358"/>
      <c r="J109" s="359">
        <f t="shared" si="1"/>
        <v>0</v>
      </c>
    </row>
    <row r="110" spans="1:10" x14ac:dyDescent="0.35">
      <c r="A110" s="299"/>
      <c r="B110" s="881"/>
      <c r="C110" s="124" t="s">
        <v>125</v>
      </c>
      <c r="D110" s="4"/>
      <c r="E110" s="5"/>
      <c r="F110" s="47"/>
      <c r="G110" s="122"/>
      <c r="H110" s="358"/>
      <c r="I110" s="358"/>
      <c r="J110" s="359">
        <f t="shared" si="1"/>
        <v>0</v>
      </c>
    </row>
    <row r="111" spans="1:10" x14ac:dyDescent="0.35">
      <c r="A111" s="299"/>
      <c r="B111" s="881"/>
      <c r="C111" s="124"/>
      <c r="D111" s="4"/>
      <c r="E111" s="5"/>
      <c r="F111" s="47"/>
      <c r="G111" s="122"/>
      <c r="H111" s="358"/>
      <c r="I111" s="358"/>
      <c r="J111" s="359">
        <f t="shared" si="1"/>
        <v>0</v>
      </c>
    </row>
    <row r="112" spans="1:10" x14ac:dyDescent="0.35">
      <c r="A112" s="299"/>
      <c r="B112" s="881"/>
      <c r="C112" s="124"/>
      <c r="D112" s="4"/>
      <c r="E112" s="5"/>
      <c r="F112" s="47"/>
      <c r="G112" s="122"/>
      <c r="H112" s="358"/>
      <c r="I112" s="358"/>
      <c r="J112" s="359">
        <f t="shared" si="1"/>
        <v>0</v>
      </c>
    </row>
    <row r="113" spans="1:10" x14ac:dyDescent="0.35">
      <c r="A113" s="299"/>
      <c r="B113" s="881"/>
      <c r="C113" s="124"/>
      <c r="D113" s="4"/>
      <c r="E113" s="5"/>
      <c r="F113" s="47"/>
      <c r="G113" s="122"/>
      <c r="H113" s="358"/>
      <c r="I113" s="358"/>
      <c r="J113" s="359">
        <f t="shared" si="1"/>
        <v>0</v>
      </c>
    </row>
    <row r="114" spans="1:10" x14ac:dyDescent="0.35">
      <c r="A114" s="299"/>
      <c r="B114" s="881"/>
      <c r="C114" s="124"/>
      <c r="D114" s="4"/>
      <c r="E114" s="5"/>
      <c r="F114" s="21"/>
      <c r="G114" s="122"/>
      <c r="H114" s="358"/>
      <c r="I114" s="358"/>
      <c r="J114" s="359">
        <f t="shared" si="1"/>
        <v>0</v>
      </c>
    </row>
    <row r="115" spans="1:10" x14ac:dyDescent="0.35">
      <c r="A115" s="299"/>
      <c r="B115" s="881"/>
      <c r="C115" s="124"/>
      <c r="D115" s="4"/>
      <c r="E115" s="5"/>
      <c r="F115" s="21"/>
      <c r="G115" s="122"/>
      <c r="H115" s="358"/>
      <c r="I115" s="358"/>
      <c r="J115" s="359">
        <f t="shared" si="1"/>
        <v>0</v>
      </c>
    </row>
    <row r="116" spans="1:10" x14ac:dyDescent="0.35">
      <c r="A116" s="299"/>
      <c r="B116" s="881"/>
      <c r="C116" s="124"/>
      <c r="D116" s="4"/>
      <c r="E116" s="5"/>
      <c r="F116" s="21"/>
      <c r="G116" s="122"/>
      <c r="H116" s="358"/>
      <c r="I116" s="358"/>
      <c r="J116" s="359">
        <f t="shared" si="1"/>
        <v>0</v>
      </c>
    </row>
    <row r="117" spans="1:10" x14ac:dyDescent="0.35">
      <c r="A117" s="299"/>
      <c r="B117" s="881"/>
      <c r="C117" s="124"/>
      <c r="D117" s="4"/>
      <c r="E117" s="5"/>
      <c r="F117" s="21"/>
      <c r="G117" s="122"/>
      <c r="H117" s="358"/>
      <c r="I117" s="358"/>
      <c r="J117" s="359">
        <f t="shared" si="1"/>
        <v>0</v>
      </c>
    </row>
    <row r="118" spans="1:10" x14ac:dyDescent="0.35">
      <c r="A118" s="299"/>
      <c r="B118" s="881"/>
      <c r="C118" s="360" t="str">
        <f>Language!A30</f>
        <v>Disposición final</v>
      </c>
      <c r="D118" s="355"/>
      <c r="E118" s="355"/>
      <c r="F118" s="361"/>
      <c r="G118" s="355"/>
      <c r="H118" s="355"/>
      <c r="I118" s="355"/>
      <c r="J118" s="356"/>
    </row>
    <row r="119" spans="1:10" x14ac:dyDescent="0.35">
      <c r="A119" s="299"/>
      <c r="B119" s="881"/>
      <c r="C119" s="125" t="s">
        <v>709</v>
      </c>
      <c r="D119" s="4">
        <v>1</v>
      </c>
      <c r="E119" s="5">
        <v>1</v>
      </c>
      <c r="F119" s="21">
        <v>4000000</v>
      </c>
      <c r="G119" s="122"/>
      <c r="H119" s="358"/>
      <c r="I119" s="358"/>
      <c r="J119" s="359">
        <f t="shared" si="1"/>
        <v>4000000</v>
      </c>
    </row>
    <row r="120" spans="1:10" x14ac:dyDescent="0.35">
      <c r="A120" s="299"/>
      <c r="B120" s="881"/>
      <c r="C120" s="124" t="s">
        <v>436</v>
      </c>
      <c r="D120" s="4">
        <v>0</v>
      </c>
      <c r="E120" s="5">
        <v>1</v>
      </c>
      <c r="F120" s="21">
        <v>0</v>
      </c>
      <c r="G120" s="122"/>
      <c r="H120" s="358"/>
      <c r="I120" s="358"/>
      <c r="J120" s="359">
        <f t="shared" si="1"/>
        <v>0</v>
      </c>
    </row>
    <row r="121" spans="1:10" x14ac:dyDescent="0.35">
      <c r="A121" s="299"/>
      <c r="B121" s="881"/>
      <c r="C121" s="124" t="s">
        <v>710</v>
      </c>
      <c r="D121" s="4">
        <v>0</v>
      </c>
      <c r="E121" s="5">
        <v>1</v>
      </c>
      <c r="F121" s="21">
        <v>0</v>
      </c>
      <c r="G121" s="122"/>
      <c r="H121" s="358"/>
      <c r="I121" s="358"/>
      <c r="J121" s="359">
        <f t="shared" si="1"/>
        <v>0</v>
      </c>
    </row>
    <row r="122" spans="1:10" x14ac:dyDescent="0.35">
      <c r="A122" s="299"/>
      <c r="B122" s="881"/>
      <c r="C122" s="124" t="s">
        <v>711</v>
      </c>
      <c r="D122" s="4">
        <v>0</v>
      </c>
      <c r="E122" s="5">
        <v>1</v>
      </c>
      <c r="F122" s="21">
        <v>0</v>
      </c>
      <c r="G122" s="122"/>
      <c r="H122" s="358"/>
      <c r="I122" s="358"/>
      <c r="J122" s="359">
        <f t="shared" si="1"/>
        <v>0</v>
      </c>
    </row>
    <row r="123" spans="1:10" x14ac:dyDescent="0.35">
      <c r="A123" s="299"/>
      <c r="B123" s="881"/>
      <c r="C123" s="124" t="s">
        <v>437</v>
      </c>
      <c r="D123" s="4">
        <v>0</v>
      </c>
      <c r="E123" s="5">
        <v>1</v>
      </c>
      <c r="F123" s="21">
        <v>0</v>
      </c>
      <c r="G123" s="122"/>
      <c r="H123" s="358"/>
      <c r="I123" s="358"/>
      <c r="J123" s="359">
        <f t="shared" si="1"/>
        <v>0</v>
      </c>
    </row>
    <row r="124" spans="1:10" x14ac:dyDescent="0.35">
      <c r="A124" s="299"/>
      <c r="B124" s="881"/>
      <c r="C124" s="124" t="s">
        <v>706</v>
      </c>
      <c r="D124" s="4">
        <v>0</v>
      </c>
      <c r="E124" s="5">
        <v>1</v>
      </c>
      <c r="F124" s="21">
        <v>0</v>
      </c>
      <c r="G124" s="122"/>
      <c r="H124" s="358"/>
      <c r="I124" s="358"/>
      <c r="J124" s="359">
        <f t="shared" si="1"/>
        <v>0</v>
      </c>
    </row>
    <row r="125" spans="1:10" x14ac:dyDescent="0.35">
      <c r="A125" s="299"/>
      <c r="B125" s="881"/>
      <c r="C125" s="124" t="s">
        <v>125</v>
      </c>
      <c r="D125" s="8"/>
      <c r="E125" s="9"/>
      <c r="F125" s="64"/>
      <c r="G125" s="122"/>
      <c r="H125" s="358"/>
      <c r="I125" s="358"/>
      <c r="J125" s="359">
        <f t="shared" si="1"/>
        <v>0</v>
      </c>
    </row>
    <row r="126" spans="1:10" x14ac:dyDescent="0.35">
      <c r="A126" s="299"/>
      <c r="B126" s="881"/>
      <c r="C126" s="124" t="s">
        <v>125</v>
      </c>
      <c r="D126" s="8"/>
      <c r="E126" s="9"/>
      <c r="F126" s="64"/>
      <c r="G126" s="122"/>
      <c r="H126" s="358"/>
      <c r="I126" s="358"/>
      <c r="J126" s="359">
        <f t="shared" si="1"/>
        <v>0</v>
      </c>
    </row>
    <row r="127" spans="1:10" x14ac:dyDescent="0.35">
      <c r="A127" s="299"/>
      <c r="B127" s="881"/>
      <c r="C127" s="124" t="s">
        <v>125</v>
      </c>
      <c r="D127" s="8"/>
      <c r="E127" s="9"/>
      <c r="F127" s="64"/>
      <c r="G127" s="122"/>
      <c r="H127" s="358"/>
      <c r="I127" s="358"/>
      <c r="J127" s="359">
        <f t="shared" si="1"/>
        <v>0</v>
      </c>
    </row>
    <row r="128" spans="1:10" x14ac:dyDescent="0.35">
      <c r="A128" s="299"/>
      <c r="B128" s="881"/>
      <c r="C128" s="124"/>
      <c r="D128" s="8"/>
      <c r="E128" s="9"/>
      <c r="F128" s="64"/>
      <c r="G128" s="122"/>
      <c r="H128" s="358"/>
      <c r="I128" s="358"/>
      <c r="J128" s="359">
        <f t="shared" si="1"/>
        <v>0</v>
      </c>
    </row>
    <row r="129" spans="1:11" x14ac:dyDescent="0.35">
      <c r="A129" s="299"/>
      <c r="B129" s="881"/>
      <c r="C129" s="124"/>
      <c r="D129" s="8"/>
      <c r="E129" s="9"/>
      <c r="F129" s="64"/>
      <c r="G129" s="122"/>
      <c r="H129" s="358"/>
      <c r="I129" s="358"/>
      <c r="J129" s="359">
        <f t="shared" si="1"/>
        <v>0</v>
      </c>
    </row>
    <row r="130" spans="1:11" x14ac:dyDescent="0.35">
      <c r="A130" s="299"/>
      <c r="B130" s="881"/>
      <c r="C130" s="124"/>
      <c r="D130" s="4"/>
      <c r="E130" s="5"/>
      <c r="F130" s="69"/>
      <c r="G130" s="122"/>
      <c r="H130" s="358"/>
      <c r="I130" s="358"/>
      <c r="J130" s="359">
        <f t="shared" si="1"/>
        <v>0</v>
      </c>
    </row>
    <row r="131" spans="1:11" x14ac:dyDescent="0.35">
      <c r="A131" s="299"/>
      <c r="B131" s="881"/>
      <c r="C131" s="124"/>
      <c r="D131" s="4"/>
      <c r="E131" s="5"/>
      <c r="F131" s="37"/>
      <c r="G131" s="122"/>
      <c r="H131" s="358"/>
      <c r="I131" s="358"/>
      <c r="J131" s="359">
        <f t="shared" si="1"/>
        <v>0</v>
      </c>
    </row>
    <row r="132" spans="1:11" x14ac:dyDescent="0.35">
      <c r="A132" s="299"/>
      <c r="B132" s="881"/>
      <c r="C132" s="124"/>
      <c r="D132" s="4"/>
      <c r="E132" s="5"/>
      <c r="F132" s="37"/>
      <c r="G132" s="122"/>
      <c r="H132" s="358"/>
      <c r="I132" s="358"/>
      <c r="J132" s="359">
        <f t="shared" si="1"/>
        <v>0</v>
      </c>
    </row>
    <row r="133" spans="1:11" ht="15" thickBot="1" x14ac:dyDescent="0.4">
      <c r="A133" s="299"/>
      <c r="B133" s="881"/>
      <c r="C133" s="126"/>
      <c r="D133" s="113"/>
      <c r="E133" s="114"/>
      <c r="F133" s="127"/>
      <c r="G133" s="128"/>
      <c r="H133" s="362"/>
      <c r="I133" s="362"/>
      <c r="J133" s="359">
        <f t="shared" si="1"/>
        <v>0</v>
      </c>
    </row>
    <row r="134" spans="1:11" ht="29" thickBot="1" x14ac:dyDescent="0.4">
      <c r="A134" s="299"/>
      <c r="B134" s="881"/>
      <c r="C134" s="886" t="str">
        <f>Language!A32</f>
        <v>Vehículos</v>
      </c>
      <c r="D134" s="886"/>
      <c r="E134" s="886"/>
      <c r="F134" s="886"/>
      <c r="G134" s="886"/>
      <c r="H134" s="886"/>
      <c r="I134" s="886"/>
      <c r="J134" s="887"/>
      <c r="K134" s="343"/>
    </row>
    <row r="135" spans="1:11" ht="43.5" x14ac:dyDescent="0.35">
      <c r="A135" s="299"/>
      <c r="B135" s="881"/>
      <c r="C135" s="363" t="s">
        <v>302</v>
      </c>
      <c r="D135" s="364" t="str">
        <f>Language!A33</f>
        <v>Cantidad []</v>
      </c>
      <c r="E135" s="365" t="str">
        <f>Language!A20</f>
        <v>Dedicación a la prestación del servicio de gestión de los residuos sólidos [%]</v>
      </c>
      <c r="F135" s="366" t="str">
        <f>Language!A34</f>
        <v>Costo unitario [$$$]</v>
      </c>
      <c r="G135" s="365" t="str">
        <f>Language!A35</f>
        <v>Tasa de interés préstamo [%]</v>
      </c>
      <c r="H135" s="364" t="str">
        <f>Language!A36</f>
        <v>Tiempo de vida [años]</v>
      </c>
      <c r="I135" s="367" t="str">
        <f>Language!A37</f>
        <v>Costo unitario por año [$$$/año]</v>
      </c>
      <c r="J135" s="368" t="s">
        <v>301</v>
      </c>
      <c r="K135" s="369"/>
    </row>
    <row r="136" spans="1:11" x14ac:dyDescent="0.35">
      <c r="A136" s="299"/>
      <c r="B136" s="881"/>
      <c r="C136" s="352" t="str">
        <f>Language!A24</f>
        <v>Barrido de vías y áreas públicas</v>
      </c>
      <c r="D136" s="370"/>
      <c r="E136" s="355"/>
      <c r="F136" s="371"/>
      <c r="G136" s="370"/>
      <c r="H136" s="370"/>
      <c r="I136" s="370"/>
      <c r="J136" s="359"/>
    </row>
    <row r="137" spans="1:11" x14ac:dyDescent="0.35">
      <c r="A137" s="299"/>
      <c r="B137" s="882"/>
      <c r="C137" s="129" t="s">
        <v>712</v>
      </c>
      <c r="D137" s="4">
        <v>0</v>
      </c>
      <c r="E137" s="5">
        <v>1</v>
      </c>
      <c r="F137" s="21">
        <v>0</v>
      </c>
      <c r="G137" s="5">
        <v>0</v>
      </c>
      <c r="H137" s="4">
        <v>0</v>
      </c>
      <c r="I137" s="372">
        <f>IF(H137=0,0,IF(G137=0,E137*F137/H137,(F137*G137*((1+G137)^H137))/(((1+G137)^H137)-1)))</f>
        <v>0</v>
      </c>
      <c r="J137" s="359">
        <f t="shared" ref="J137:J151" si="2">D137*E137*I137</f>
        <v>0</v>
      </c>
    </row>
    <row r="138" spans="1:11" x14ac:dyDescent="0.35">
      <c r="A138" s="299"/>
      <c r="B138" s="881"/>
      <c r="C138" s="130" t="s">
        <v>713</v>
      </c>
      <c r="D138" s="4">
        <v>0</v>
      </c>
      <c r="E138" s="5">
        <v>1</v>
      </c>
      <c r="F138" s="21">
        <v>0</v>
      </c>
      <c r="G138" s="5">
        <v>0</v>
      </c>
      <c r="H138" s="4">
        <v>0</v>
      </c>
      <c r="I138" s="372">
        <f t="shared" ref="I138:I151" si="3">IF(H138=0,0,IF(G138=0,E138*F138/H138,(F138*G138*((1+G138)^H138))/(((1+G138)^H138)-1)))</f>
        <v>0</v>
      </c>
      <c r="J138" s="359">
        <f t="shared" ref="J138:J141" si="4">D138*E138*I138</f>
        <v>0</v>
      </c>
    </row>
    <row r="139" spans="1:11" x14ac:dyDescent="0.35">
      <c r="A139" s="299"/>
      <c r="B139" s="881"/>
      <c r="C139" s="124" t="s">
        <v>125</v>
      </c>
      <c r="D139" s="4">
        <v>0</v>
      </c>
      <c r="E139" s="5">
        <v>1</v>
      </c>
      <c r="F139" s="21">
        <v>0</v>
      </c>
      <c r="G139" s="5">
        <v>0</v>
      </c>
      <c r="H139" s="4">
        <v>0</v>
      </c>
      <c r="I139" s="372">
        <f t="shared" si="3"/>
        <v>0</v>
      </c>
      <c r="J139" s="359">
        <f t="shared" si="4"/>
        <v>0</v>
      </c>
    </row>
    <row r="140" spans="1:11" x14ac:dyDescent="0.35">
      <c r="A140" s="299"/>
      <c r="B140" s="881"/>
      <c r="C140" s="124" t="s">
        <v>125</v>
      </c>
      <c r="D140" s="4">
        <v>0</v>
      </c>
      <c r="E140" s="5">
        <v>1</v>
      </c>
      <c r="F140" s="21">
        <v>0</v>
      </c>
      <c r="G140" s="5">
        <v>0</v>
      </c>
      <c r="H140" s="4">
        <v>0</v>
      </c>
      <c r="I140" s="372">
        <f t="shared" si="3"/>
        <v>0</v>
      </c>
      <c r="J140" s="359">
        <f t="shared" si="4"/>
        <v>0</v>
      </c>
    </row>
    <row r="141" spans="1:11" x14ac:dyDescent="0.35">
      <c r="A141" s="299"/>
      <c r="B141" s="881"/>
      <c r="C141" s="124" t="s">
        <v>125</v>
      </c>
      <c r="D141" s="4">
        <v>0</v>
      </c>
      <c r="E141" s="5">
        <v>1</v>
      </c>
      <c r="F141" s="21">
        <v>0</v>
      </c>
      <c r="G141" s="5">
        <v>0</v>
      </c>
      <c r="H141" s="4">
        <v>0</v>
      </c>
      <c r="I141" s="372">
        <f t="shared" si="3"/>
        <v>0</v>
      </c>
      <c r="J141" s="359">
        <f t="shared" si="4"/>
        <v>0</v>
      </c>
    </row>
    <row r="142" spans="1:11" x14ac:dyDescent="0.35">
      <c r="A142" s="299"/>
      <c r="B142" s="881"/>
      <c r="C142" s="131"/>
      <c r="D142" s="4"/>
      <c r="E142" s="5"/>
      <c r="F142" s="21"/>
      <c r="G142" s="5"/>
      <c r="H142" s="4"/>
      <c r="I142" s="372">
        <f t="shared" si="3"/>
        <v>0</v>
      </c>
      <c r="J142" s="359">
        <f t="shared" ref="J142:J146" si="5">D142*E142*I142</f>
        <v>0</v>
      </c>
    </row>
    <row r="143" spans="1:11" x14ac:dyDescent="0.35">
      <c r="A143" s="299"/>
      <c r="B143" s="881"/>
      <c r="C143" s="131"/>
      <c r="D143" s="4"/>
      <c r="E143" s="5"/>
      <c r="F143" s="21"/>
      <c r="G143" s="5"/>
      <c r="H143" s="4"/>
      <c r="I143" s="372">
        <f t="shared" si="3"/>
        <v>0</v>
      </c>
      <c r="J143" s="359">
        <f t="shared" si="5"/>
        <v>0</v>
      </c>
    </row>
    <row r="144" spans="1:11" x14ac:dyDescent="0.35">
      <c r="A144" s="299"/>
      <c r="B144" s="881"/>
      <c r="C144" s="131"/>
      <c r="D144" s="4"/>
      <c r="E144" s="5"/>
      <c r="F144" s="21"/>
      <c r="G144" s="5"/>
      <c r="H144" s="4"/>
      <c r="I144" s="372">
        <f t="shared" si="3"/>
        <v>0</v>
      </c>
      <c r="J144" s="359">
        <f t="shared" si="5"/>
        <v>0</v>
      </c>
    </row>
    <row r="145" spans="1:10" x14ac:dyDescent="0.35">
      <c r="A145" s="299"/>
      <c r="B145" s="881"/>
      <c r="C145" s="131"/>
      <c r="D145" s="4"/>
      <c r="E145" s="5"/>
      <c r="F145" s="21"/>
      <c r="G145" s="5"/>
      <c r="H145" s="4"/>
      <c r="I145" s="372">
        <f t="shared" si="3"/>
        <v>0</v>
      </c>
      <c r="J145" s="359">
        <f>D145*E145*I145</f>
        <v>0</v>
      </c>
    </row>
    <row r="146" spans="1:10" x14ac:dyDescent="0.35">
      <c r="A146" s="299"/>
      <c r="B146" s="881"/>
      <c r="C146" s="131"/>
      <c r="D146" s="4"/>
      <c r="E146" s="5"/>
      <c r="F146" s="21"/>
      <c r="G146" s="5"/>
      <c r="H146" s="4"/>
      <c r="I146" s="372">
        <f t="shared" si="3"/>
        <v>0</v>
      </c>
      <c r="J146" s="359">
        <f t="shared" si="5"/>
        <v>0</v>
      </c>
    </row>
    <row r="147" spans="1:10" x14ac:dyDescent="0.35">
      <c r="A147" s="299"/>
      <c r="B147" s="881"/>
      <c r="C147" s="131"/>
      <c r="D147" s="4"/>
      <c r="E147" s="5"/>
      <c r="F147" s="21"/>
      <c r="G147" s="5"/>
      <c r="H147" s="4"/>
      <c r="I147" s="372">
        <f t="shared" si="3"/>
        <v>0</v>
      </c>
      <c r="J147" s="359">
        <f t="shared" ref="J147:J148" si="6">D147*E147*I147</f>
        <v>0</v>
      </c>
    </row>
    <row r="148" spans="1:10" x14ac:dyDescent="0.35">
      <c r="A148" s="299"/>
      <c r="B148" s="881"/>
      <c r="C148" s="131"/>
      <c r="D148" s="4"/>
      <c r="E148" s="5"/>
      <c r="F148" s="21"/>
      <c r="G148" s="5"/>
      <c r="H148" s="4"/>
      <c r="I148" s="372">
        <f t="shared" si="3"/>
        <v>0</v>
      </c>
      <c r="J148" s="359">
        <f t="shared" si="6"/>
        <v>0</v>
      </c>
    </row>
    <row r="149" spans="1:10" x14ac:dyDescent="0.35">
      <c r="A149" s="299"/>
      <c r="B149" s="881"/>
      <c r="C149" s="130"/>
      <c r="D149" s="4"/>
      <c r="E149" s="5"/>
      <c r="F149" s="40"/>
      <c r="G149" s="5"/>
      <c r="H149" s="4"/>
      <c r="I149" s="372">
        <f t="shared" si="3"/>
        <v>0</v>
      </c>
      <c r="J149" s="359">
        <f t="shared" si="2"/>
        <v>0</v>
      </c>
    </row>
    <row r="150" spans="1:10" x14ac:dyDescent="0.35">
      <c r="A150" s="299"/>
      <c r="B150" s="881"/>
      <c r="C150" s="130"/>
      <c r="D150" s="4"/>
      <c r="E150" s="5"/>
      <c r="F150" s="40"/>
      <c r="G150" s="5"/>
      <c r="H150" s="4"/>
      <c r="I150" s="372">
        <f t="shared" si="3"/>
        <v>0</v>
      </c>
      <c r="J150" s="359">
        <f t="shared" si="2"/>
        <v>0</v>
      </c>
    </row>
    <row r="151" spans="1:10" x14ac:dyDescent="0.35">
      <c r="A151" s="299"/>
      <c r="B151" s="881"/>
      <c r="C151" s="130"/>
      <c r="D151" s="4"/>
      <c r="E151" s="5"/>
      <c r="F151" s="40"/>
      <c r="G151" s="5"/>
      <c r="H151" s="4"/>
      <c r="I151" s="372">
        <f t="shared" si="3"/>
        <v>0</v>
      </c>
      <c r="J151" s="359">
        <f t="shared" si="2"/>
        <v>0</v>
      </c>
    </row>
    <row r="152" spans="1:10" x14ac:dyDescent="0.35">
      <c r="A152" s="299"/>
      <c r="B152" s="881"/>
      <c r="C152" s="352" t="str">
        <f>Language!A25</f>
        <v>Taller de mantenimiento</v>
      </c>
      <c r="D152" s="370"/>
      <c r="E152" s="355"/>
      <c r="F152" s="371"/>
      <c r="G152" s="370"/>
      <c r="H152" s="370"/>
      <c r="I152" s="370"/>
      <c r="J152" s="359"/>
    </row>
    <row r="153" spans="1:10" x14ac:dyDescent="0.35">
      <c r="A153" s="299"/>
      <c r="B153" s="881"/>
      <c r="C153" s="124" t="s">
        <v>712</v>
      </c>
      <c r="D153" s="4">
        <v>0</v>
      </c>
      <c r="E153" s="5">
        <v>1</v>
      </c>
      <c r="F153" s="21">
        <v>0</v>
      </c>
      <c r="G153" s="5">
        <v>0</v>
      </c>
      <c r="H153" s="4">
        <v>0</v>
      </c>
      <c r="I153" s="372">
        <f>IF(H153=0,0,IF(G153=0,E153*F153/H153,(F153*G153*((1+G153)^H153))/(((1+G153)^H153)-1)))</f>
        <v>0</v>
      </c>
      <c r="J153" s="359">
        <f t="shared" ref="J153:J159" si="7">D153*E153*I153</f>
        <v>0</v>
      </c>
    </row>
    <row r="154" spans="1:10" x14ac:dyDescent="0.35">
      <c r="A154" s="299"/>
      <c r="B154" s="881"/>
      <c r="C154" s="124" t="s">
        <v>125</v>
      </c>
      <c r="D154" s="4"/>
      <c r="E154" s="5"/>
      <c r="F154" s="21"/>
      <c r="G154" s="5"/>
      <c r="H154" s="4"/>
      <c r="I154" s="372">
        <f t="shared" ref="I154:I217" si="8">IF(H154=0,0,IF(G154=0,E154*F154/H154,(F154*G154*((1+G154)^H154))/(((1+G154)^H154)-1)))</f>
        <v>0</v>
      </c>
      <c r="J154" s="359">
        <f t="shared" ref="J154:J157" si="9">D154*E154*I154</f>
        <v>0</v>
      </c>
    </row>
    <row r="155" spans="1:10" x14ac:dyDescent="0.35">
      <c r="A155" s="299"/>
      <c r="B155" s="881"/>
      <c r="C155" s="124" t="s">
        <v>125</v>
      </c>
      <c r="D155" s="4"/>
      <c r="E155" s="5"/>
      <c r="F155" s="21"/>
      <c r="G155" s="5"/>
      <c r="H155" s="4"/>
      <c r="I155" s="372">
        <f t="shared" si="8"/>
        <v>0</v>
      </c>
      <c r="J155" s="359">
        <f t="shared" ref="J155:J156" si="10">D155*E155*I155</f>
        <v>0</v>
      </c>
    </row>
    <row r="156" spans="1:10" x14ac:dyDescent="0.35">
      <c r="A156" s="299"/>
      <c r="B156" s="881"/>
      <c r="C156" s="124" t="s">
        <v>125</v>
      </c>
      <c r="D156" s="4"/>
      <c r="E156" s="5"/>
      <c r="F156" s="21"/>
      <c r="G156" s="5"/>
      <c r="H156" s="4"/>
      <c r="I156" s="372">
        <f t="shared" si="8"/>
        <v>0</v>
      </c>
      <c r="J156" s="359">
        <f t="shared" si="10"/>
        <v>0</v>
      </c>
    </row>
    <row r="157" spans="1:10" x14ac:dyDescent="0.35">
      <c r="A157" s="299"/>
      <c r="B157" s="881"/>
      <c r="C157" s="131"/>
      <c r="D157" s="4"/>
      <c r="E157" s="5"/>
      <c r="F157" s="21"/>
      <c r="G157" s="5"/>
      <c r="H157" s="4"/>
      <c r="I157" s="372">
        <f t="shared" si="8"/>
        <v>0</v>
      </c>
      <c r="J157" s="359">
        <f t="shared" si="9"/>
        <v>0</v>
      </c>
    </row>
    <row r="158" spans="1:10" x14ac:dyDescent="0.35">
      <c r="A158" s="299"/>
      <c r="B158" s="881"/>
      <c r="C158" s="131"/>
      <c r="D158" s="4"/>
      <c r="E158" s="5"/>
      <c r="F158" s="21"/>
      <c r="G158" s="5"/>
      <c r="H158" s="4"/>
      <c r="I158" s="372">
        <f t="shared" si="8"/>
        <v>0</v>
      </c>
      <c r="J158" s="359">
        <f t="shared" si="7"/>
        <v>0</v>
      </c>
    </row>
    <row r="159" spans="1:10" x14ac:dyDescent="0.35">
      <c r="A159" s="299"/>
      <c r="B159" s="881"/>
      <c r="C159" s="131"/>
      <c r="D159" s="4"/>
      <c r="E159" s="5"/>
      <c r="F159" s="21"/>
      <c r="G159" s="5"/>
      <c r="H159" s="4"/>
      <c r="I159" s="372">
        <f t="shared" si="8"/>
        <v>0</v>
      </c>
      <c r="J159" s="359">
        <f t="shared" si="7"/>
        <v>0</v>
      </c>
    </row>
    <row r="160" spans="1:10" x14ac:dyDescent="0.35">
      <c r="A160" s="299"/>
      <c r="B160" s="881"/>
      <c r="C160" s="131"/>
      <c r="D160" s="4"/>
      <c r="E160" s="5"/>
      <c r="F160" s="21"/>
      <c r="G160" s="5"/>
      <c r="H160" s="4"/>
      <c r="I160" s="372">
        <f t="shared" si="8"/>
        <v>0</v>
      </c>
      <c r="J160" s="359">
        <f>D160*E160*I160</f>
        <v>0</v>
      </c>
    </row>
    <row r="161" spans="1:10" x14ac:dyDescent="0.35">
      <c r="A161" s="299"/>
      <c r="B161" s="881"/>
      <c r="C161" s="360" t="str">
        <f>Language!A26</f>
        <v>Servicio de recolección</v>
      </c>
      <c r="D161" s="370"/>
      <c r="E161" s="355"/>
      <c r="F161" s="371"/>
      <c r="G161" s="370"/>
      <c r="H161" s="370"/>
      <c r="I161" s="370"/>
      <c r="J161" s="359"/>
    </row>
    <row r="162" spans="1:10" x14ac:dyDescent="0.35">
      <c r="A162" s="299"/>
      <c r="B162" s="881"/>
      <c r="C162" s="130" t="s">
        <v>714</v>
      </c>
      <c r="D162" s="4">
        <v>0</v>
      </c>
      <c r="E162" s="5">
        <v>1</v>
      </c>
      <c r="F162" s="21">
        <v>0</v>
      </c>
      <c r="G162" s="5">
        <v>0</v>
      </c>
      <c r="H162" s="4">
        <v>0</v>
      </c>
      <c r="I162" s="372">
        <f t="shared" si="8"/>
        <v>0</v>
      </c>
      <c r="J162" s="359">
        <f t="shared" ref="J162" si="11">D162*E162*I162</f>
        <v>0</v>
      </c>
    </row>
    <row r="163" spans="1:10" x14ac:dyDescent="0.35">
      <c r="A163" s="299"/>
      <c r="B163" s="881"/>
      <c r="C163" s="130" t="s">
        <v>715</v>
      </c>
      <c r="D163" s="4">
        <v>0</v>
      </c>
      <c r="E163" s="5">
        <v>1</v>
      </c>
      <c r="F163" s="21">
        <v>0</v>
      </c>
      <c r="G163" s="5">
        <v>0</v>
      </c>
      <c r="H163" s="4">
        <v>0</v>
      </c>
      <c r="I163" s="372">
        <f t="shared" si="8"/>
        <v>0</v>
      </c>
      <c r="J163" s="359">
        <f t="shared" ref="J163:J186" si="12">D163*E163*I163</f>
        <v>0</v>
      </c>
    </row>
    <row r="164" spans="1:10" x14ac:dyDescent="0.35">
      <c r="A164" s="299"/>
      <c r="B164" s="881"/>
      <c r="C164" s="130" t="s">
        <v>716</v>
      </c>
      <c r="D164" s="4">
        <v>0</v>
      </c>
      <c r="E164" s="5">
        <v>1</v>
      </c>
      <c r="F164" s="21">
        <v>0</v>
      </c>
      <c r="G164" s="5">
        <v>0</v>
      </c>
      <c r="H164" s="4">
        <v>0</v>
      </c>
      <c r="I164" s="372">
        <f t="shared" si="8"/>
        <v>0</v>
      </c>
      <c r="J164" s="359">
        <f t="shared" si="12"/>
        <v>0</v>
      </c>
    </row>
    <row r="165" spans="1:10" x14ac:dyDescent="0.35">
      <c r="A165" s="299"/>
      <c r="B165" s="881"/>
      <c r="C165" s="124" t="s">
        <v>125</v>
      </c>
      <c r="D165" s="4">
        <v>0</v>
      </c>
      <c r="E165" s="5">
        <v>1</v>
      </c>
      <c r="F165" s="21">
        <v>0</v>
      </c>
      <c r="G165" s="5">
        <v>0</v>
      </c>
      <c r="H165" s="4">
        <v>0</v>
      </c>
      <c r="I165" s="372">
        <f t="shared" si="8"/>
        <v>0</v>
      </c>
      <c r="J165" s="359">
        <f t="shared" si="12"/>
        <v>0</v>
      </c>
    </row>
    <row r="166" spans="1:10" x14ac:dyDescent="0.35">
      <c r="A166" s="299"/>
      <c r="B166" s="881"/>
      <c r="C166" s="124" t="s">
        <v>125</v>
      </c>
      <c r="D166" s="4">
        <v>0</v>
      </c>
      <c r="E166" s="5">
        <v>1</v>
      </c>
      <c r="F166" s="21">
        <v>0</v>
      </c>
      <c r="G166" s="5">
        <v>0</v>
      </c>
      <c r="H166" s="4">
        <v>0</v>
      </c>
      <c r="I166" s="372">
        <f t="shared" si="8"/>
        <v>0</v>
      </c>
      <c r="J166" s="359">
        <f t="shared" si="12"/>
        <v>0</v>
      </c>
    </row>
    <row r="167" spans="1:10" x14ac:dyDescent="0.35">
      <c r="A167" s="299"/>
      <c r="B167" s="881"/>
      <c r="C167" s="124" t="s">
        <v>125</v>
      </c>
      <c r="D167" s="4">
        <v>0</v>
      </c>
      <c r="E167" s="5">
        <v>1</v>
      </c>
      <c r="F167" s="21">
        <v>0</v>
      </c>
      <c r="G167" s="5">
        <v>0</v>
      </c>
      <c r="H167" s="4">
        <v>0</v>
      </c>
      <c r="I167" s="372">
        <f t="shared" si="8"/>
        <v>0</v>
      </c>
      <c r="J167" s="359">
        <f t="shared" si="12"/>
        <v>0</v>
      </c>
    </row>
    <row r="168" spans="1:10" x14ac:dyDescent="0.35">
      <c r="A168" s="299"/>
      <c r="B168" s="881"/>
      <c r="C168" s="130"/>
      <c r="D168" s="4">
        <v>0</v>
      </c>
      <c r="E168" s="5">
        <v>1</v>
      </c>
      <c r="F168" s="21">
        <v>0</v>
      </c>
      <c r="G168" s="5">
        <v>0</v>
      </c>
      <c r="H168" s="4">
        <v>0</v>
      </c>
      <c r="I168" s="372">
        <f t="shared" si="8"/>
        <v>0</v>
      </c>
      <c r="J168" s="359">
        <f t="shared" si="12"/>
        <v>0</v>
      </c>
    </row>
    <row r="169" spans="1:10" x14ac:dyDescent="0.35">
      <c r="A169" s="299"/>
      <c r="B169" s="881"/>
      <c r="C169" s="130"/>
      <c r="D169" s="4">
        <v>0</v>
      </c>
      <c r="E169" s="5">
        <v>1</v>
      </c>
      <c r="F169" s="21">
        <v>0</v>
      </c>
      <c r="G169" s="5">
        <v>0</v>
      </c>
      <c r="H169" s="4">
        <v>0</v>
      </c>
      <c r="I169" s="372">
        <f t="shared" si="8"/>
        <v>0</v>
      </c>
      <c r="J169" s="359">
        <f t="shared" si="12"/>
        <v>0</v>
      </c>
    </row>
    <row r="170" spans="1:10" x14ac:dyDescent="0.35">
      <c r="A170" s="299"/>
      <c r="B170" s="881"/>
      <c r="C170" s="130"/>
      <c r="D170" s="4">
        <v>0</v>
      </c>
      <c r="E170" s="5">
        <v>1</v>
      </c>
      <c r="F170" s="21">
        <v>0</v>
      </c>
      <c r="G170" s="5">
        <v>0</v>
      </c>
      <c r="H170" s="4">
        <v>0</v>
      </c>
      <c r="I170" s="372">
        <f t="shared" si="8"/>
        <v>0</v>
      </c>
      <c r="J170" s="359">
        <f t="shared" si="12"/>
        <v>0</v>
      </c>
    </row>
    <row r="171" spans="1:10" x14ac:dyDescent="0.35">
      <c r="A171" s="299"/>
      <c r="B171" s="881"/>
      <c r="C171" s="130"/>
      <c r="D171" s="4">
        <v>0</v>
      </c>
      <c r="E171" s="5">
        <v>1</v>
      </c>
      <c r="F171" s="21">
        <v>0</v>
      </c>
      <c r="G171" s="5">
        <v>0</v>
      </c>
      <c r="H171" s="4">
        <v>0</v>
      </c>
      <c r="I171" s="372">
        <f t="shared" si="8"/>
        <v>0</v>
      </c>
      <c r="J171" s="359">
        <f t="shared" ref="J171:J184" si="13">D171*E171*I171</f>
        <v>0</v>
      </c>
    </row>
    <row r="172" spans="1:10" x14ac:dyDescent="0.35">
      <c r="A172" s="299"/>
      <c r="B172" s="881"/>
      <c r="C172" s="130"/>
      <c r="D172" s="4">
        <v>0</v>
      </c>
      <c r="E172" s="5">
        <v>1</v>
      </c>
      <c r="F172" s="21">
        <v>0</v>
      </c>
      <c r="G172" s="5">
        <v>0</v>
      </c>
      <c r="H172" s="4">
        <v>0</v>
      </c>
      <c r="I172" s="372">
        <f t="shared" si="8"/>
        <v>0</v>
      </c>
      <c r="J172" s="359">
        <f t="shared" si="13"/>
        <v>0</v>
      </c>
    </row>
    <row r="173" spans="1:10" x14ac:dyDescent="0.35">
      <c r="A173" s="299"/>
      <c r="B173" s="881"/>
      <c r="C173" s="130"/>
      <c r="D173" s="4">
        <v>0</v>
      </c>
      <c r="E173" s="5">
        <v>1</v>
      </c>
      <c r="F173" s="21">
        <v>0</v>
      </c>
      <c r="G173" s="5">
        <v>0</v>
      </c>
      <c r="H173" s="4">
        <v>0</v>
      </c>
      <c r="I173" s="372">
        <f t="shared" si="8"/>
        <v>0</v>
      </c>
      <c r="J173" s="359">
        <f t="shared" si="13"/>
        <v>0</v>
      </c>
    </row>
    <row r="174" spans="1:10" x14ac:dyDescent="0.35">
      <c r="A174" s="299"/>
      <c r="B174" s="881"/>
      <c r="C174" s="130"/>
      <c r="D174" s="4">
        <v>0</v>
      </c>
      <c r="E174" s="5">
        <v>1</v>
      </c>
      <c r="F174" s="21">
        <v>0</v>
      </c>
      <c r="G174" s="5">
        <v>0</v>
      </c>
      <c r="H174" s="4">
        <v>0</v>
      </c>
      <c r="I174" s="372">
        <f t="shared" si="8"/>
        <v>0</v>
      </c>
      <c r="J174" s="359">
        <f t="shared" si="13"/>
        <v>0</v>
      </c>
    </row>
    <row r="175" spans="1:10" x14ac:dyDescent="0.35">
      <c r="A175" s="299"/>
      <c r="B175" s="881"/>
      <c r="C175" s="130"/>
      <c r="D175" s="4">
        <v>0</v>
      </c>
      <c r="E175" s="5">
        <v>1</v>
      </c>
      <c r="F175" s="21">
        <v>0</v>
      </c>
      <c r="G175" s="5">
        <v>0</v>
      </c>
      <c r="H175" s="4">
        <v>0</v>
      </c>
      <c r="I175" s="372">
        <f t="shared" si="8"/>
        <v>0</v>
      </c>
      <c r="J175" s="359">
        <f t="shared" si="13"/>
        <v>0</v>
      </c>
    </row>
    <row r="176" spans="1:10" x14ac:dyDescent="0.35">
      <c r="A176" s="299"/>
      <c r="B176" s="881"/>
      <c r="C176" s="130"/>
      <c r="D176" s="4">
        <v>0</v>
      </c>
      <c r="E176" s="5">
        <v>1</v>
      </c>
      <c r="F176" s="21">
        <v>0</v>
      </c>
      <c r="G176" s="5">
        <v>0</v>
      </c>
      <c r="H176" s="4">
        <v>0</v>
      </c>
      <c r="I176" s="372">
        <f t="shared" si="8"/>
        <v>0</v>
      </c>
      <c r="J176" s="359">
        <f t="shared" si="13"/>
        <v>0</v>
      </c>
    </row>
    <row r="177" spans="1:10" x14ac:dyDescent="0.35">
      <c r="A177" s="299"/>
      <c r="B177" s="881"/>
      <c r="C177" s="130"/>
      <c r="D177" s="4">
        <v>0</v>
      </c>
      <c r="E177" s="5">
        <v>1</v>
      </c>
      <c r="F177" s="21">
        <v>0</v>
      </c>
      <c r="G177" s="5">
        <v>0</v>
      </c>
      <c r="H177" s="4">
        <v>0</v>
      </c>
      <c r="I177" s="372">
        <f t="shared" si="8"/>
        <v>0</v>
      </c>
      <c r="J177" s="359">
        <f t="shared" si="13"/>
        <v>0</v>
      </c>
    </row>
    <row r="178" spans="1:10" x14ac:dyDescent="0.35">
      <c r="A178" s="299"/>
      <c r="B178" s="881"/>
      <c r="C178" s="130"/>
      <c r="D178" s="4">
        <v>0</v>
      </c>
      <c r="E178" s="5">
        <v>1</v>
      </c>
      <c r="F178" s="21">
        <v>0</v>
      </c>
      <c r="G178" s="5">
        <v>0</v>
      </c>
      <c r="H178" s="4">
        <v>0</v>
      </c>
      <c r="I178" s="372">
        <f t="shared" si="8"/>
        <v>0</v>
      </c>
      <c r="J178" s="359">
        <f t="shared" si="13"/>
        <v>0</v>
      </c>
    </row>
    <row r="179" spans="1:10" x14ac:dyDescent="0.35">
      <c r="A179" s="299"/>
      <c r="B179" s="881"/>
      <c r="C179" s="130"/>
      <c r="D179" s="4">
        <v>0</v>
      </c>
      <c r="E179" s="5">
        <v>1</v>
      </c>
      <c r="F179" s="21">
        <v>0</v>
      </c>
      <c r="G179" s="5">
        <v>0</v>
      </c>
      <c r="H179" s="4">
        <v>0</v>
      </c>
      <c r="I179" s="372">
        <f t="shared" si="8"/>
        <v>0</v>
      </c>
      <c r="J179" s="359">
        <f t="shared" si="13"/>
        <v>0</v>
      </c>
    </row>
    <row r="180" spans="1:10" x14ac:dyDescent="0.35">
      <c r="A180" s="299"/>
      <c r="B180" s="881"/>
      <c r="C180" s="130"/>
      <c r="D180" s="4">
        <v>0</v>
      </c>
      <c r="E180" s="5">
        <v>1</v>
      </c>
      <c r="F180" s="21">
        <v>0</v>
      </c>
      <c r="G180" s="5">
        <v>0</v>
      </c>
      <c r="H180" s="4">
        <v>0</v>
      </c>
      <c r="I180" s="372">
        <f t="shared" si="8"/>
        <v>0</v>
      </c>
      <c r="J180" s="359">
        <f t="shared" si="13"/>
        <v>0</v>
      </c>
    </row>
    <row r="181" spans="1:10" x14ac:dyDescent="0.35">
      <c r="A181" s="299"/>
      <c r="B181" s="881"/>
      <c r="C181" s="130"/>
      <c r="D181" s="4">
        <v>0</v>
      </c>
      <c r="E181" s="5">
        <v>1</v>
      </c>
      <c r="F181" s="21">
        <v>0</v>
      </c>
      <c r="G181" s="5">
        <v>0</v>
      </c>
      <c r="H181" s="4">
        <v>0</v>
      </c>
      <c r="I181" s="372">
        <f t="shared" si="8"/>
        <v>0</v>
      </c>
      <c r="J181" s="359">
        <f t="shared" ref="J181:J183" si="14">D181*E181*I181</f>
        <v>0</v>
      </c>
    </row>
    <row r="182" spans="1:10" x14ac:dyDescent="0.35">
      <c r="A182" s="299"/>
      <c r="B182" s="881"/>
      <c r="C182" s="130"/>
      <c r="D182" s="4">
        <v>0</v>
      </c>
      <c r="E182" s="5">
        <v>1</v>
      </c>
      <c r="F182" s="21">
        <v>0</v>
      </c>
      <c r="G182" s="5">
        <v>0</v>
      </c>
      <c r="H182" s="4">
        <v>0</v>
      </c>
      <c r="I182" s="372">
        <f t="shared" si="8"/>
        <v>0</v>
      </c>
      <c r="J182" s="359">
        <f t="shared" si="14"/>
        <v>0</v>
      </c>
    </row>
    <row r="183" spans="1:10" x14ac:dyDescent="0.35">
      <c r="A183" s="299"/>
      <c r="B183" s="881"/>
      <c r="C183" s="130"/>
      <c r="D183" s="4">
        <v>0</v>
      </c>
      <c r="E183" s="5">
        <v>1</v>
      </c>
      <c r="F183" s="21">
        <v>0</v>
      </c>
      <c r="G183" s="5">
        <v>0</v>
      </c>
      <c r="H183" s="4">
        <v>0</v>
      </c>
      <c r="I183" s="372">
        <f t="shared" si="8"/>
        <v>0</v>
      </c>
      <c r="J183" s="359">
        <f t="shared" si="14"/>
        <v>0</v>
      </c>
    </row>
    <row r="184" spans="1:10" x14ac:dyDescent="0.35">
      <c r="A184" s="299"/>
      <c r="B184" s="881"/>
      <c r="C184" s="130"/>
      <c r="D184" s="4">
        <v>0</v>
      </c>
      <c r="E184" s="5">
        <v>1</v>
      </c>
      <c r="F184" s="21">
        <v>0</v>
      </c>
      <c r="G184" s="5">
        <v>0</v>
      </c>
      <c r="H184" s="4">
        <v>0</v>
      </c>
      <c r="I184" s="372">
        <f t="shared" si="8"/>
        <v>0</v>
      </c>
      <c r="J184" s="359">
        <f t="shared" si="13"/>
        <v>0</v>
      </c>
    </row>
    <row r="185" spans="1:10" x14ac:dyDescent="0.35">
      <c r="A185" s="299"/>
      <c r="B185" s="881"/>
      <c r="C185" s="130"/>
      <c r="D185" s="4">
        <v>0</v>
      </c>
      <c r="E185" s="5">
        <v>1</v>
      </c>
      <c r="F185" s="21">
        <v>0</v>
      </c>
      <c r="G185" s="5">
        <v>0</v>
      </c>
      <c r="H185" s="4">
        <v>0</v>
      </c>
      <c r="I185" s="372">
        <f t="shared" si="8"/>
        <v>0</v>
      </c>
      <c r="J185" s="359">
        <f t="shared" si="12"/>
        <v>0</v>
      </c>
    </row>
    <row r="186" spans="1:10" x14ac:dyDescent="0.35">
      <c r="A186" s="299"/>
      <c r="B186" s="881"/>
      <c r="C186" s="130"/>
      <c r="D186" s="4">
        <v>0</v>
      </c>
      <c r="E186" s="5">
        <v>1</v>
      </c>
      <c r="F186" s="21">
        <v>0</v>
      </c>
      <c r="G186" s="5">
        <v>0</v>
      </c>
      <c r="H186" s="4">
        <v>0</v>
      </c>
      <c r="I186" s="372">
        <f t="shared" si="8"/>
        <v>0</v>
      </c>
      <c r="J186" s="359">
        <f t="shared" si="12"/>
        <v>0</v>
      </c>
    </row>
    <row r="187" spans="1:10" x14ac:dyDescent="0.35">
      <c r="A187" s="299"/>
      <c r="B187" s="881"/>
      <c r="C187" s="130"/>
      <c r="D187" s="4">
        <v>0</v>
      </c>
      <c r="E187" s="5">
        <v>1</v>
      </c>
      <c r="F187" s="21">
        <v>0</v>
      </c>
      <c r="G187" s="5">
        <v>0</v>
      </c>
      <c r="H187" s="4">
        <v>0</v>
      </c>
      <c r="I187" s="372">
        <f t="shared" si="8"/>
        <v>0</v>
      </c>
      <c r="J187" s="359">
        <f t="shared" ref="J187:J204" si="15">D187*E187*I187</f>
        <v>0</v>
      </c>
    </row>
    <row r="188" spans="1:10" x14ac:dyDescent="0.35">
      <c r="A188" s="299"/>
      <c r="B188" s="881"/>
      <c r="C188" s="124" t="s">
        <v>686</v>
      </c>
      <c r="D188" s="4">
        <v>0</v>
      </c>
      <c r="E188" s="5">
        <v>1</v>
      </c>
      <c r="F188" s="21">
        <v>0</v>
      </c>
      <c r="G188" s="5">
        <v>0</v>
      </c>
      <c r="H188" s="4">
        <v>0</v>
      </c>
      <c r="I188" s="372">
        <f t="shared" si="8"/>
        <v>0</v>
      </c>
      <c r="J188" s="359">
        <f t="shared" si="15"/>
        <v>0</v>
      </c>
    </row>
    <row r="189" spans="1:10" x14ac:dyDescent="0.35">
      <c r="A189" s="299"/>
      <c r="B189" s="881"/>
      <c r="C189" s="130"/>
      <c r="D189" s="4"/>
      <c r="E189" s="5"/>
      <c r="F189" s="70"/>
      <c r="G189" s="5"/>
      <c r="H189" s="4"/>
      <c r="I189" s="372">
        <f t="shared" si="8"/>
        <v>0</v>
      </c>
      <c r="J189" s="359">
        <f t="shared" si="15"/>
        <v>0</v>
      </c>
    </row>
    <row r="190" spans="1:10" x14ac:dyDescent="0.35">
      <c r="A190" s="299"/>
      <c r="B190" s="881"/>
      <c r="C190" s="130"/>
      <c r="D190" s="4"/>
      <c r="E190" s="5"/>
      <c r="F190" s="70"/>
      <c r="G190" s="5"/>
      <c r="H190" s="4"/>
      <c r="I190" s="372">
        <f t="shared" si="8"/>
        <v>0</v>
      </c>
      <c r="J190" s="359">
        <f t="shared" si="15"/>
        <v>0</v>
      </c>
    </row>
    <row r="191" spans="1:10" x14ac:dyDescent="0.35">
      <c r="A191" s="299"/>
      <c r="B191" s="881"/>
      <c r="C191" s="130"/>
      <c r="D191" s="4"/>
      <c r="E191" s="5"/>
      <c r="F191" s="70"/>
      <c r="G191" s="5"/>
      <c r="H191" s="4"/>
      <c r="I191" s="372">
        <f t="shared" si="8"/>
        <v>0</v>
      </c>
      <c r="J191" s="359">
        <f t="shared" si="15"/>
        <v>0</v>
      </c>
    </row>
    <row r="192" spans="1:10" x14ac:dyDescent="0.35">
      <c r="A192" s="299"/>
      <c r="B192" s="881"/>
      <c r="C192" s="130"/>
      <c r="D192" s="4"/>
      <c r="E192" s="5"/>
      <c r="F192" s="70"/>
      <c r="G192" s="5"/>
      <c r="H192" s="4"/>
      <c r="I192" s="372">
        <f t="shared" si="8"/>
        <v>0</v>
      </c>
      <c r="J192" s="359">
        <f t="shared" si="15"/>
        <v>0</v>
      </c>
    </row>
    <row r="193" spans="1:10" x14ac:dyDescent="0.35">
      <c r="A193" s="299"/>
      <c r="B193" s="881"/>
      <c r="C193" s="130"/>
      <c r="D193" s="4"/>
      <c r="E193" s="5"/>
      <c r="F193" s="70"/>
      <c r="G193" s="5"/>
      <c r="H193" s="4"/>
      <c r="I193" s="372">
        <f t="shared" si="8"/>
        <v>0</v>
      </c>
      <c r="J193" s="359">
        <f t="shared" si="15"/>
        <v>0</v>
      </c>
    </row>
    <row r="194" spans="1:10" x14ac:dyDescent="0.35">
      <c r="A194" s="299"/>
      <c r="B194" s="881"/>
      <c r="C194" s="130"/>
      <c r="D194" s="4"/>
      <c r="E194" s="5"/>
      <c r="F194" s="70"/>
      <c r="G194" s="5"/>
      <c r="H194" s="4"/>
      <c r="I194" s="372">
        <f t="shared" si="8"/>
        <v>0</v>
      </c>
      <c r="J194" s="359">
        <f t="shared" si="15"/>
        <v>0</v>
      </c>
    </row>
    <row r="195" spans="1:10" x14ac:dyDescent="0.35">
      <c r="A195" s="299"/>
      <c r="B195" s="881"/>
      <c r="C195" s="130"/>
      <c r="D195" s="4"/>
      <c r="E195" s="5"/>
      <c r="F195" s="70"/>
      <c r="G195" s="5"/>
      <c r="H195" s="4"/>
      <c r="I195" s="372">
        <f t="shared" si="8"/>
        <v>0</v>
      </c>
      <c r="J195" s="359">
        <f t="shared" si="15"/>
        <v>0</v>
      </c>
    </row>
    <row r="196" spans="1:10" x14ac:dyDescent="0.35">
      <c r="A196" s="299"/>
      <c r="B196" s="881"/>
      <c r="C196" s="130"/>
      <c r="D196" s="4"/>
      <c r="E196" s="5"/>
      <c r="F196" s="70"/>
      <c r="G196" s="5"/>
      <c r="H196" s="4"/>
      <c r="I196" s="372">
        <f t="shared" si="8"/>
        <v>0</v>
      </c>
      <c r="J196" s="359">
        <f t="shared" si="15"/>
        <v>0</v>
      </c>
    </row>
    <row r="197" spans="1:10" x14ac:dyDescent="0.35">
      <c r="A197" s="299"/>
      <c r="B197" s="881"/>
      <c r="C197" s="130"/>
      <c r="D197" s="4"/>
      <c r="E197" s="5"/>
      <c r="F197" s="70"/>
      <c r="G197" s="5"/>
      <c r="H197" s="4"/>
      <c r="I197" s="372">
        <f t="shared" si="8"/>
        <v>0</v>
      </c>
      <c r="J197" s="359">
        <f t="shared" si="15"/>
        <v>0</v>
      </c>
    </row>
    <row r="198" spans="1:10" x14ac:dyDescent="0.35">
      <c r="A198" s="299"/>
      <c r="B198" s="881"/>
      <c r="C198" s="130"/>
      <c r="D198" s="4"/>
      <c r="E198" s="5"/>
      <c r="F198" s="70"/>
      <c r="G198" s="5"/>
      <c r="H198" s="4"/>
      <c r="I198" s="372">
        <f t="shared" si="8"/>
        <v>0</v>
      </c>
      <c r="J198" s="359">
        <f t="shared" si="15"/>
        <v>0</v>
      </c>
    </row>
    <row r="199" spans="1:10" x14ac:dyDescent="0.35">
      <c r="A199" s="299"/>
      <c r="B199" s="881"/>
      <c r="C199" s="130"/>
      <c r="D199" s="4"/>
      <c r="E199" s="5"/>
      <c r="F199" s="70"/>
      <c r="G199" s="5"/>
      <c r="H199" s="4"/>
      <c r="I199" s="372">
        <f t="shared" si="8"/>
        <v>0</v>
      </c>
      <c r="J199" s="359">
        <f t="shared" si="15"/>
        <v>0</v>
      </c>
    </row>
    <row r="200" spans="1:10" x14ac:dyDescent="0.35">
      <c r="A200" s="299"/>
      <c r="B200" s="881"/>
      <c r="C200" s="130"/>
      <c r="D200" s="4"/>
      <c r="E200" s="5"/>
      <c r="F200" s="70"/>
      <c r="G200" s="5"/>
      <c r="H200" s="4"/>
      <c r="I200" s="372">
        <f t="shared" si="8"/>
        <v>0</v>
      </c>
      <c r="J200" s="359">
        <f t="shared" si="15"/>
        <v>0</v>
      </c>
    </row>
    <row r="201" spans="1:10" x14ac:dyDescent="0.35">
      <c r="A201" s="299"/>
      <c r="B201" s="881"/>
      <c r="C201" s="130"/>
      <c r="D201" s="4"/>
      <c r="E201" s="5"/>
      <c r="F201" s="70"/>
      <c r="G201" s="5"/>
      <c r="H201" s="4"/>
      <c r="I201" s="372">
        <f t="shared" si="8"/>
        <v>0</v>
      </c>
      <c r="J201" s="359">
        <f t="shared" si="15"/>
        <v>0</v>
      </c>
    </row>
    <row r="202" spans="1:10" x14ac:dyDescent="0.35">
      <c r="A202" s="299"/>
      <c r="B202" s="881"/>
      <c r="C202" s="130"/>
      <c r="D202" s="4"/>
      <c r="E202" s="5"/>
      <c r="F202" s="70"/>
      <c r="G202" s="5"/>
      <c r="H202" s="4"/>
      <c r="I202" s="372">
        <f t="shared" si="8"/>
        <v>0</v>
      </c>
      <c r="J202" s="359">
        <f t="shared" si="15"/>
        <v>0</v>
      </c>
    </row>
    <row r="203" spans="1:10" x14ac:dyDescent="0.35">
      <c r="A203" s="299"/>
      <c r="B203" s="881"/>
      <c r="C203" s="130"/>
      <c r="D203" s="4"/>
      <c r="E203" s="5"/>
      <c r="F203" s="70"/>
      <c r="G203" s="5"/>
      <c r="H203" s="4"/>
      <c r="I203" s="372">
        <f t="shared" si="8"/>
        <v>0</v>
      </c>
      <c r="J203" s="359">
        <f t="shared" si="15"/>
        <v>0</v>
      </c>
    </row>
    <row r="204" spans="1:10" x14ac:dyDescent="0.35">
      <c r="A204" s="299"/>
      <c r="B204" s="881"/>
      <c r="C204" s="130"/>
      <c r="D204" s="4"/>
      <c r="E204" s="5"/>
      <c r="F204" s="70"/>
      <c r="G204" s="5"/>
      <c r="H204" s="4"/>
      <c r="I204" s="372">
        <f t="shared" si="8"/>
        <v>0</v>
      </c>
      <c r="J204" s="359">
        <f t="shared" si="15"/>
        <v>0</v>
      </c>
    </row>
    <row r="205" spans="1:10" x14ac:dyDescent="0.35">
      <c r="A205" s="299"/>
      <c r="B205" s="881"/>
      <c r="C205" s="130"/>
      <c r="D205" s="4"/>
      <c r="E205" s="5"/>
      <c r="F205" s="70"/>
      <c r="G205" s="5"/>
      <c r="H205" s="4"/>
      <c r="I205" s="372">
        <f t="shared" si="8"/>
        <v>0</v>
      </c>
      <c r="J205" s="359">
        <f t="shared" ref="J205:J209" si="16">D205*E205*I205</f>
        <v>0</v>
      </c>
    </row>
    <row r="206" spans="1:10" x14ac:dyDescent="0.35">
      <c r="A206" s="299"/>
      <c r="B206" s="881"/>
      <c r="C206" s="130"/>
      <c r="D206" s="4"/>
      <c r="E206" s="5"/>
      <c r="F206" s="70"/>
      <c r="G206" s="5"/>
      <c r="H206" s="4"/>
      <c r="I206" s="372">
        <f t="shared" si="8"/>
        <v>0</v>
      </c>
      <c r="J206" s="359">
        <f t="shared" si="16"/>
        <v>0</v>
      </c>
    </row>
    <row r="207" spans="1:10" x14ac:dyDescent="0.35">
      <c r="A207" s="299"/>
      <c r="B207" s="881"/>
      <c r="C207" s="130"/>
      <c r="D207" s="4"/>
      <c r="E207" s="5"/>
      <c r="F207" s="70"/>
      <c r="G207" s="5"/>
      <c r="H207" s="4"/>
      <c r="I207" s="372">
        <f t="shared" si="8"/>
        <v>0</v>
      </c>
      <c r="J207" s="359">
        <f t="shared" si="16"/>
        <v>0</v>
      </c>
    </row>
    <row r="208" spans="1:10" x14ac:dyDescent="0.35">
      <c r="A208" s="299"/>
      <c r="B208" s="881"/>
      <c r="C208" s="130"/>
      <c r="D208" s="4"/>
      <c r="E208" s="5"/>
      <c r="F208" s="70"/>
      <c r="G208" s="5"/>
      <c r="H208" s="4"/>
      <c r="I208" s="372">
        <f t="shared" si="8"/>
        <v>0</v>
      </c>
      <c r="J208" s="359">
        <f t="shared" si="16"/>
        <v>0</v>
      </c>
    </row>
    <row r="209" spans="1:10" x14ac:dyDescent="0.35">
      <c r="A209" s="299"/>
      <c r="B209" s="881"/>
      <c r="C209" s="130"/>
      <c r="D209" s="4"/>
      <c r="E209" s="5"/>
      <c r="F209" s="40"/>
      <c r="G209" s="5"/>
      <c r="H209" s="4"/>
      <c r="I209" s="372">
        <f t="shared" si="8"/>
        <v>0</v>
      </c>
      <c r="J209" s="359">
        <f t="shared" si="16"/>
        <v>0</v>
      </c>
    </row>
    <row r="210" spans="1:10" x14ac:dyDescent="0.35">
      <c r="A210" s="299"/>
      <c r="B210" s="881"/>
      <c r="C210" s="130"/>
      <c r="D210" s="4"/>
      <c r="E210" s="5"/>
      <c r="F210" s="40"/>
      <c r="G210" s="5"/>
      <c r="H210" s="4"/>
      <c r="I210" s="372">
        <f t="shared" si="8"/>
        <v>0</v>
      </c>
      <c r="J210" s="359">
        <f t="shared" ref="J210:J211" si="17">D210*E210*I210</f>
        <v>0</v>
      </c>
    </row>
    <row r="211" spans="1:10" x14ac:dyDescent="0.35">
      <c r="A211" s="299"/>
      <c r="B211" s="881"/>
      <c r="C211" s="130"/>
      <c r="D211" s="4"/>
      <c r="E211" s="5"/>
      <c r="F211" s="40"/>
      <c r="G211" s="5"/>
      <c r="H211" s="4"/>
      <c r="I211" s="372">
        <f t="shared" si="8"/>
        <v>0</v>
      </c>
      <c r="J211" s="359">
        <f t="shared" si="17"/>
        <v>0</v>
      </c>
    </row>
    <row r="212" spans="1:10" x14ac:dyDescent="0.35">
      <c r="A212" s="299"/>
      <c r="B212" s="881"/>
      <c r="C212" s="360" t="str">
        <f>Language!A27</f>
        <v>Planta de reciclaje</v>
      </c>
      <c r="D212" s="370"/>
      <c r="E212" s="355"/>
      <c r="F212" s="371"/>
      <c r="G212" s="370"/>
      <c r="H212" s="370"/>
      <c r="I212" s="370"/>
      <c r="J212" s="359"/>
    </row>
    <row r="213" spans="1:10" x14ac:dyDescent="0.35">
      <c r="A213" s="299"/>
      <c r="B213" s="881"/>
      <c r="C213" s="124" t="s">
        <v>717</v>
      </c>
      <c r="D213" s="4">
        <v>0</v>
      </c>
      <c r="E213" s="5">
        <v>1</v>
      </c>
      <c r="F213" s="21">
        <v>0</v>
      </c>
      <c r="G213" s="5">
        <v>0</v>
      </c>
      <c r="H213" s="4">
        <v>0</v>
      </c>
      <c r="I213" s="372">
        <f t="shared" si="8"/>
        <v>0</v>
      </c>
      <c r="J213" s="359">
        <f t="shared" ref="J213:J222" si="18">D213*E213*I213</f>
        <v>0</v>
      </c>
    </row>
    <row r="214" spans="1:10" x14ac:dyDescent="0.35">
      <c r="A214" s="299"/>
      <c r="B214" s="881"/>
      <c r="C214" s="131" t="s">
        <v>716</v>
      </c>
      <c r="D214" s="4"/>
      <c r="E214" s="5"/>
      <c r="F214" s="21"/>
      <c r="G214" s="5"/>
      <c r="H214" s="4"/>
      <c r="I214" s="372">
        <f t="shared" si="8"/>
        <v>0</v>
      </c>
      <c r="J214" s="359">
        <f t="shared" ref="J214:J215" si="19">D214*E214*I214</f>
        <v>0</v>
      </c>
    </row>
    <row r="215" spans="1:10" x14ac:dyDescent="0.35">
      <c r="A215" s="299"/>
      <c r="B215" s="881"/>
      <c r="C215" s="124" t="s">
        <v>125</v>
      </c>
      <c r="D215" s="4"/>
      <c r="E215" s="5"/>
      <c r="F215" s="21"/>
      <c r="G215" s="5"/>
      <c r="H215" s="4"/>
      <c r="I215" s="372">
        <f t="shared" si="8"/>
        <v>0</v>
      </c>
      <c r="J215" s="359">
        <f t="shared" si="19"/>
        <v>0</v>
      </c>
    </row>
    <row r="216" spans="1:10" x14ac:dyDescent="0.35">
      <c r="A216" s="299"/>
      <c r="B216" s="881"/>
      <c r="C216" s="124" t="s">
        <v>125</v>
      </c>
      <c r="D216" s="4"/>
      <c r="E216" s="5"/>
      <c r="F216" s="21"/>
      <c r="G216" s="5"/>
      <c r="H216" s="4"/>
      <c r="I216" s="372">
        <f t="shared" si="8"/>
        <v>0</v>
      </c>
      <c r="J216" s="359">
        <f t="shared" ref="J216:J217" si="20">D216*E216*I216</f>
        <v>0</v>
      </c>
    </row>
    <row r="217" spans="1:10" x14ac:dyDescent="0.35">
      <c r="A217" s="299"/>
      <c r="B217" s="881"/>
      <c r="C217" s="124" t="s">
        <v>125</v>
      </c>
      <c r="D217" s="4"/>
      <c r="E217" s="5"/>
      <c r="F217" s="21"/>
      <c r="G217" s="5"/>
      <c r="H217" s="4"/>
      <c r="I217" s="372">
        <f t="shared" si="8"/>
        <v>0</v>
      </c>
      <c r="J217" s="359">
        <f t="shared" si="20"/>
        <v>0</v>
      </c>
    </row>
    <row r="218" spans="1:10" x14ac:dyDescent="0.35">
      <c r="A218" s="299"/>
      <c r="B218" s="881"/>
      <c r="C218" s="131"/>
      <c r="D218" s="4"/>
      <c r="E218" s="5"/>
      <c r="F218" s="21"/>
      <c r="G218" s="5"/>
      <c r="H218" s="4"/>
      <c r="I218" s="372">
        <f t="shared" ref="I218:I260" si="21">IF(H218=0,0,IF(G218=0,E218*F218/H218,(F218*G218*((1+G218)^H218))/(((1+G218)^H218)-1)))</f>
        <v>0</v>
      </c>
      <c r="J218" s="359">
        <f t="shared" ref="J218:J219" si="22">D218*E218*I218</f>
        <v>0</v>
      </c>
    </row>
    <row r="219" spans="1:10" x14ac:dyDescent="0.35">
      <c r="A219" s="299"/>
      <c r="B219" s="881"/>
      <c r="C219" s="131"/>
      <c r="D219" s="4"/>
      <c r="E219" s="5"/>
      <c r="F219" s="21"/>
      <c r="G219" s="5"/>
      <c r="H219" s="4"/>
      <c r="I219" s="372">
        <f t="shared" si="21"/>
        <v>0</v>
      </c>
      <c r="J219" s="359">
        <f t="shared" si="22"/>
        <v>0</v>
      </c>
    </row>
    <row r="220" spans="1:10" x14ac:dyDescent="0.35">
      <c r="A220" s="299"/>
      <c r="B220" s="881"/>
      <c r="C220" s="131"/>
      <c r="D220" s="4"/>
      <c r="E220" s="5"/>
      <c r="F220" s="21"/>
      <c r="G220" s="5"/>
      <c r="H220" s="4"/>
      <c r="I220" s="372">
        <f t="shared" si="21"/>
        <v>0</v>
      </c>
      <c r="J220" s="359">
        <f>D220*E220*I220</f>
        <v>0</v>
      </c>
    </row>
    <row r="221" spans="1:10" x14ac:dyDescent="0.35">
      <c r="A221" s="299"/>
      <c r="B221" s="881"/>
      <c r="C221" s="131"/>
      <c r="D221" s="4"/>
      <c r="E221" s="5"/>
      <c r="F221" s="21"/>
      <c r="G221" s="5"/>
      <c r="H221" s="4"/>
      <c r="I221" s="372">
        <f t="shared" si="21"/>
        <v>0</v>
      </c>
      <c r="J221" s="359">
        <f t="shared" si="18"/>
        <v>0</v>
      </c>
    </row>
    <row r="222" spans="1:10" x14ac:dyDescent="0.35">
      <c r="A222" s="299"/>
      <c r="B222" s="881"/>
      <c r="C222" s="131"/>
      <c r="D222" s="4"/>
      <c r="E222" s="5"/>
      <c r="F222" s="21"/>
      <c r="G222" s="5"/>
      <c r="H222" s="4"/>
      <c r="I222" s="372">
        <f t="shared" si="21"/>
        <v>0</v>
      </c>
      <c r="J222" s="359">
        <f t="shared" si="18"/>
        <v>0</v>
      </c>
    </row>
    <row r="223" spans="1:10" x14ac:dyDescent="0.35">
      <c r="A223" s="299"/>
      <c r="B223" s="881"/>
      <c r="C223" s="360" t="str">
        <f>Language!A28</f>
        <v>Planta de compostaje</v>
      </c>
      <c r="D223" s="370"/>
      <c r="E223" s="355"/>
      <c r="F223" s="371"/>
      <c r="G223" s="370"/>
      <c r="H223" s="370"/>
      <c r="I223" s="370"/>
      <c r="J223" s="359"/>
    </row>
    <row r="224" spans="1:10" x14ac:dyDescent="0.35">
      <c r="A224" s="299"/>
      <c r="B224" s="881"/>
      <c r="C224" s="124" t="s">
        <v>718</v>
      </c>
      <c r="D224" s="4">
        <v>0</v>
      </c>
      <c r="E224" s="5">
        <v>1</v>
      </c>
      <c r="F224" s="21">
        <v>0</v>
      </c>
      <c r="G224" s="5">
        <v>0</v>
      </c>
      <c r="H224" s="4">
        <v>0</v>
      </c>
      <c r="I224" s="372">
        <f t="shared" si="21"/>
        <v>0</v>
      </c>
      <c r="J224" s="359">
        <f>D224*E224*I224</f>
        <v>0</v>
      </c>
    </row>
    <row r="225" spans="1:10" x14ac:dyDescent="0.35">
      <c r="A225" s="299"/>
      <c r="B225" s="881"/>
      <c r="C225" s="131" t="s">
        <v>716</v>
      </c>
      <c r="D225" s="4"/>
      <c r="E225" s="5"/>
      <c r="F225" s="21"/>
      <c r="G225" s="5"/>
      <c r="H225" s="4"/>
      <c r="I225" s="372">
        <f t="shared" si="21"/>
        <v>0</v>
      </c>
      <c r="J225" s="359">
        <f t="shared" ref="J225:J228" si="23">D225*E225*I225</f>
        <v>0</v>
      </c>
    </row>
    <row r="226" spans="1:10" x14ac:dyDescent="0.35">
      <c r="A226" s="299"/>
      <c r="B226" s="881"/>
      <c r="C226" s="131" t="s">
        <v>784</v>
      </c>
      <c r="D226" s="4"/>
      <c r="E226" s="5"/>
      <c r="F226" s="21"/>
      <c r="G226" s="5"/>
      <c r="H226" s="4"/>
      <c r="I226" s="372">
        <f t="shared" si="21"/>
        <v>0</v>
      </c>
      <c r="J226" s="359">
        <f t="shared" si="23"/>
        <v>0</v>
      </c>
    </row>
    <row r="227" spans="1:10" x14ac:dyDescent="0.35">
      <c r="A227" s="299"/>
      <c r="B227" s="881"/>
      <c r="C227" s="124" t="s">
        <v>125</v>
      </c>
      <c r="D227" s="4"/>
      <c r="E227" s="5"/>
      <c r="F227" s="21"/>
      <c r="G227" s="5"/>
      <c r="H227" s="4"/>
      <c r="I227" s="372">
        <f t="shared" si="21"/>
        <v>0</v>
      </c>
      <c r="J227" s="359">
        <f t="shared" si="23"/>
        <v>0</v>
      </c>
    </row>
    <row r="228" spans="1:10" x14ac:dyDescent="0.35">
      <c r="A228" s="299"/>
      <c r="B228" s="881"/>
      <c r="C228" s="124" t="s">
        <v>125</v>
      </c>
      <c r="D228" s="4"/>
      <c r="E228" s="5"/>
      <c r="F228" s="21"/>
      <c r="G228" s="5"/>
      <c r="H228" s="4"/>
      <c r="I228" s="372">
        <f t="shared" si="21"/>
        <v>0</v>
      </c>
      <c r="J228" s="359">
        <f t="shared" si="23"/>
        <v>0</v>
      </c>
    </row>
    <row r="229" spans="1:10" x14ac:dyDescent="0.35">
      <c r="A229" s="299"/>
      <c r="B229" s="881"/>
      <c r="C229" s="124" t="s">
        <v>125</v>
      </c>
      <c r="D229" s="4"/>
      <c r="E229" s="5"/>
      <c r="F229" s="21"/>
      <c r="G229" s="5"/>
      <c r="H229" s="4"/>
      <c r="I229" s="372">
        <f t="shared" si="21"/>
        <v>0</v>
      </c>
      <c r="J229" s="359">
        <f t="shared" ref="J229" si="24">D229*E229*I229</f>
        <v>0</v>
      </c>
    </row>
    <row r="230" spans="1:10" x14ac:dyDescent="0.35">
      <c r="A230" s="299"/>
      <c r="B230" s="881"/>
      <c r="C230" s="131"/>
      <c r="D230" s="4"/>
      <c r="E230" s="5"/>
      <c r="F230" s="21"/>
      <c r="G230" s="5"/>
      <c r="H230" s="4"/>
      <c r="I230" s="372">
        <f t="shared" si="21"/>
        <v>0</v>
      </c>
      <c r="J230" s="359">
        <f t="shared" ref="J230" si="25">D230*E230*I230</f>
        <v>0</v>
      </c>
    </row>
    <row r="231" spans="1:10" x14ac:dyDescent="0.35">
      <c r="A231" s="299"/>
      <c r="B231" s="881"/>
      <c r="C231" s="131"/>
      <c r="D231" s="4"/>
      <c r="E231" s="5"/>
      <c r="F231" s="21"/>
      <c r="G231" s="5"/>
      <c r="H231" s="4"/>
      <c r="I231" s="372">
        <f t="shared" si="21"/>
        <v>0</v>
      </c>
      <c r="J231" s="359">
        <f>D231*E231*I231</f>
        <v>0</v>
      </c>
    </row>
    <row r="232" spans="1:10" x14ac:dyDescent="0.35">
      <c r="A232" s="299"/>
      <c r="B232" s="881"/>
      <c r="C232" s="131"/>
      <c r="D232" s="4"/>
      <c r="E232" s="5"/>
      <c r="F232" s="21"/>
      <c r="G232" s="5"/>
      <c r="H232" s="4"/>
      <c r="I232" s="372">
        <f t="shared" si="21"/>
        <v>0</v>
      </c>
      <c r="J232" s="359">
        <f>D232*E232*I232</f>
        <v>0</v>
      </c>
    </row>
    <row r="233" spans="1:10" x14ac:dyDescent="0.35">
      <c r="A233" s="299"/>
      <c r="B233" s="881"/>
      <c r="C233" s="131"/>
      <c r="D233" s="4"/>
      <c r="E233" s="5"/>
      <c r="F233" s="21"/>
      <c r="G233" s="5"/>
      <c r="H233" s="4"/>
      <c r="I233" s="372">
        <f t="shared" si="21"/>
        <v>0</v>
      </c>
      <c r="J233" s="359">
        <f>D233*E233*I233</f>
        <v>0</v>
      </c>
    </row>
    <row r="234" spans="1:10" x14ac:dyDescent="0.35">
      <c r="A234" s="299"/>
      <c r="B234" s="881"/>
      <c r="C234" s="360" t="str">
        <f>Language!A29</f>
        <v>Estación de transferencia y transporte</v>
      </c>
      <c r="D234" s="370"/>
      <c r="E234" s="355"/>
      <c r="F234" s="371"/>
      <c r="G234" s="370"/>
      <c r="H234" s="370"/>
      <c r="I234" s="370"/>
      <c r="J234" s="359"/>
    </row>
    <row r="235" spans="1:10" x14ac:dyDescent="0.35">
      <c r="A235" s="299"/>
      <c r="B235" s="881"/>
      <c r="C235" s="124" t="s">
        <v>730</v>
      </c>
      <c r="D235" s="4">
        <v>0</v>
      </c>
      <c r="E235" s="5">
        <v>1</v>
      </c>
      <c r="F235" s="21">
        <v>0</v>
      </c>
      <c r="G235" s="5">
        <v>0</v>
      </c>
      <c r="H235" s="4">
        <v>0</v>
      </c>
      <c r="I235" s="372">
        <f t="shared" si="21"/>
        <v>0</v>
      </c>
      <c r="J235" s="359">
        <f>D235*E235*I235</f>
        <v>0</v>
      </c>
    </row>
    <row r="236" spans="1:10" x14ac:dyDescent="0.35">
      <c r="A236" s="299"/>
      <c r="B236" s="881"/>
      <c r="C236" s="124" t="s">
        <v>731</v>
      </c>
      <c r="D236" s="4"/>
      <c r="E236" s="5"/>
      <c r="F236" s="21"/>
      <c r="G236" s="5"/>
      <c r="H236" s="4"/>
      <c r="I236" s="372">
        <f t="shared" si="21"/>
        <v>0</v>
      </c>
      <c r="J236" s="359">
        <f t="shared" ref="J236:J239" si="26">D236*E236*I236</f>
        <v>0</v>
      </c>
    </row>
    <row r="237" spans="1:10" x14ac:dyDescent="0.35">
      <c r="A237" s="299"/>
      <c r="B237" s="881"/>
      <c r="C237" s="124" t="s">
        <v>732</v>
      </c>
      <c r="D237" s="4"/>
      <c r="E237" s="5"/>
      <c r="F237" s="21"/>
      <c r="G237" s="5"/>
      <c r="H237" s="4"/>
      <c r="I237" s="372">
        <f t="shared" si="21"/>
        <v>0</v>
      </c>
      <c r="J237" s="359">
        <f t="shared" si="26"/>
        <v>0</v>
      </c>
    </row>
    <row r="238" spans="1:10" x14ac:dyDescent="0.35">
      <c r="A238" s="299"/>
      <c r="B238" s="881"/>
      <c r="C238" s="124" t="s">
        <v>125</v>
      </c>
      <c r="D238" s="4"/>
      <c r="E238" s="5"/>
      <c r="F238" s="21"/>
      <c r="G238" s="5"/>
      <c r="H238" s="4"/>
      <c r="I238" s="372">
        <f t="shared" si="21"/>
        <v>0</v>
      </c>
      <c r="J238" s="359">
        <f t="shared" si="26"/>
        <v>0</v>
      </c>
    </row>
    <row r="239" spans="1:10" x14ac:dyDescent="0.35">
      <c r="A239" s="299"/>
      <c r="B239" s="881"/>
      <c r="C239" s="124" t="s">
        <v>125</v>
      </c>
      <c r="D239" s="4"/>
      <c r="E239" s="5"/>
      <c r="F239" s="21"/>
      <c r="G239" s="5"/>
      <c r="H239" s="4"/>
      <c r="I239" s="372">
        <f t="shared" si="21"/>
        <v>0</v>
      </c>
      <c r="J239" s="359">
        <f t="shared" si="26"/>
        <v>0</v>
      </c>
    </row>
    <row r="240" spans="1:10" x14ac:dyDescent="0.35">
      <c r="A240" s="299"/>
      <c r="B240" s="881"/>
      <c r="C240" s="124" t="s">
        <v>125</v>
      </c>
      <c r="D240" s="4"/>
      <c r="E240" s="5"/>
      <c r="F240" s="21"/>
      <c r="G240" s="5"/>
      <c r="H240" s="4"/>
      <c r="I240" s="372">
        <f t="shared" si="21"/>
        <v>0</v>
      </c>
      <c r="J240" s="359">
        <f>D240*E240*I240</f>
        <v>0</v>
      </c>
    </row>
    <row r="241" spans="1:10" x14ac:dyDescent="0.35">
      <c r="A241" s="299"/>
      <c r="B241" s="881"/>
      <c r="C241" s="124"/>
      <c r="D241" s="4"/>
      <c r="E241" s="5"/>
      <c r="F241" s="21"/>
      <c r="G241" s="5"/>
      <c r="H241" s="4"/>
      <c r="I241" s="372">
        <f t="shared" si="21"/>
        <v>0</v>
      </c>
      <c r="J241" s="359">
        <f>D241*E241*I241</f>
        <v>0</v>
      </c>
    </row>
    <row r="242" spans="1:10" x14ac:dyDescent="0.35">
      <c r="A242" s="299"/>
      <c r="B242" s="881"/>
      <c r="C242" s="124"/>
      <c r="D242" s="4"/>
      <c r="E242" s="5"/>
      <c r="F242" s="21"/>
      <c r="G242" s="5"/>
      <c r="H242" s="4"/>
      <c r="I242" s="372">
        <f t="shared" si="21"/>
        <v>0</v>
      </c>
      <c r="J242" s="359">
        <f>D242*E242*I242</f>
        <v>0</v>
      </c>
    </row>
    <row r="243" spans="1:10" x14ac:dyDescent="0.35">
      <c r="A243" s="299"/>
      <c r="B243" s="881"/>
      <c r="C243" s="124"/>
      <c r="D243" s="4"/>
      <c r="E243" s="5"/>
      <c r="F243" s="21"/>
      <c r="G243" s="5"/>
      <c r="H243" s="4"/>
      <c r="I243" s="372">
        <f t="shared" si="21"/>
        <v>0</v>
      </c>
      <c r="J243" s="359">
        <f t="shared" ref="J243:J244" si="27">D243*E243*(F243+G243)+D243*H243</f>
        <v>0</v>
      </c>
    </row>
    <row r="244" spans="1:10" x14ac:dyDescent="0.35">
      <c r="A244" s="299"/>
      <c r="B244" s="881"/>
      <c r="C244" s="124"/>
      <c r="D244" s="4"/>
      <c r="E244" s="5"/>
      <c r="F244" s="21"/>
      <c r="G244" s="5"/>
      <c r="H244" s="4"/>
      <c r="I244" s="372">
        <f t="shared" si="21"/>
        <v>0</v>
      </c>
      <c r="J244" s="359">
        <f t="shared" si="27"/>
        <v>0</v>
      </c>
    </row>
    <row r="245" spans="1:10" x14ac:dyDescent="0.35">
      <c r="A245" s="299"/>
      <c r="B245" s="881"/>
      <c r="C245" s="360" t="str">
        <f>Language!A30</f>
        <v>Disposición final</v>
      </c>
      <c r="D245" s="370"/>
      <c r="E245" s="355"/>
      <c r="F245" s="371"/>
      <c r="G245" s="370"/>
      <c r="H245" s="370"/>
      <c r="I245" s="370"/>
      <c r="J245" s="359"/>
    </row>
    <row r="246" spans="1:10" x14ac:dyDescent="0.35">
      <c r="A246" s="299"/>
      <c r="B246" s="881"/>
      <c r="C246" s="130" t="s">
        <v>475</v>
      </c>
      <c r="D246" s="4">
        <v>0</v>
      </c>
      <c r="E246" s="5">
        <v>1</v>
      </c>
      <c r="F246" s="21">
        <v>0</v>
      </c>
      <c r="G246" s="5">
        <v>0</v>
      </c>
      <c r="H246" s="4">
        <v>0</v>
      </c>
      <c r="I246" s="372">
        <f t="shared" si="21"/>
        <v>0</v>
      </c>
      <c r="J246" s="359">
        <f>D246*E246*I246</f>
        <v>0</v>
      </c>
    </row>
    <row r="247" spans="1:10" x14ac:dyDescent="0.35">
      <c r="A247" s="299"/>
      <c r="B247" s="881"/>
      <c r="C247" s="130" t="s">
        <v>382</v>
      </c>
      <c r="D247" s="4">
        <v>0</v>
      </c>
      <c r="E247" s="5">
        <v>1</v>
      </c>
      <c r="F247" s="21">
        <v>0</v>
      </c>
      <c r="G247" s="5">
        <v>0</v>
      </c>
      <c r="H247" s="4">
        <v>0</v>
      </c>
      <c r="I247" s="372">
        <f t="shared" si="21"/>
        <v>0</v>
      </c>
      <c r="J247" s="359">
        <f>D247*E247*I247</f>
        <v>0</v>
      </c>
    </row>
    <row r="248" spans="1:10" x14ac:dyDescent="0.35">
      <c r="A248" s="299"/>
      <c r="B248" s="881"/>
      <c r="C248" s="130" t="s">
        <v>719</v>
      </c>
      <c r="D248" s="4">
        <v>0</v>
      </c>
      <c r="E248" s="5">
        <v>1</v>
      </c>
      <c r="F248" s="21">
        <v>0</v>
      </c>
      <c r="G248" s="5">
        <v>0</v>
      </c>
      <c r="H248" s="4">
        <v>0</v>
      </c>
      <c r="I248" s="372">
        <f t="shared" si="21"/>
        <v>0</v>
      </c>
      <c r="J248" s="359">
        <f t="shared" ref="J248:J253" si="28">D248*E248*I248</f>
        <v>0</v>
      </c>
    </row>
    <row r="249" spans="1:10" x14ac:dyDescent="0.35">
      <c r="A249" s="299"/>
      <c r="B249" s="881"/>
      <c r="C249" s="130" t="s">
        <v>715</v>
      </c>
      <c r="D249" s="4">
        <v>0</v>
      </c>
      <c r="E249" s="5">
        <v>1</v>
      </c>
      <c r="F249" s="21">
        <v>0</v>
      </c>
      <c r="G249" s="5">
        <v>0</v>
      </c>
      <c r="H249" s="4">
        <v>0</v>
      </c>
      <c r="I249" s="372">
        <f t="shared" si="21"/>
        <v>0</v>
      </c>
      <c r="J249" s="359">
        <f t="shared" ref="J249:J252" si="29">D249*E249*I249</f>
        <v>0</v>
      </c>
    </row>
    <row r="250" spans="1:10" x14ac:dyDescent="0.35">
      <c r="A250" s="299"/>
      <c r="B250" s="881"/>
      <c r="C250" s="124" t="s">
        <v>125</v>
      </c>
      <c r="D250" s="4">
        <v>0</v>
      </c>
      <c r="E250" s="5">
        <v>1</v>
      </c>
      <c r="F250" s="21">
        <v>0</v>
      </c>
      <c r="G250" s="5">
        <v>0</v>
      </c>
      <c r="H250" s="4">
        <v>0</v>
      </c>
      <c r="I250" s="372">
        <f t="shared" si="21"/>
        <v>0</v>
      </c>
      <c r="J250" s="359">
        <f t="shared" si="29"/>
        <v>0</v>
      </c>
    </row>
    <row r="251" spans="1:10" x14ac:dyDescent="0.35">
      <c r="A251" s="299"/>
      <c r="B251" s="881"/>
      <c r="C251" s="124" t="s">
        <v>125</v>
      </c>
      <c r="D251" s="4"/>
      <c r="E251" s="5"/>
      <c r="F251" s="21"/>
      <c r="G251" s="5"/>
      <c r="H251" s="4"/>
      <c r="I251" s="372">
        <f t="shared" si="21"/>
        <v>0</v>
      </c>
      <c r="J251" s="359">
        <f t="shared" si="29"/>
        <v>0</v>
      </c>
    </row>
    <row r="252" spans="1:10" x14ac:dyDescent="0.35">
      <c r="A252" s="299"/>
      <c r="B252" s="881"/>
      <c r="C252" s="124" t="s">
        <v>125</v>
      </c>
      <c r="D252" s="4"/>
      <c r="E252" s="5"/>
      <c r="F252" s="21"/>
      <c r="G252" s="5"/>
      <c r="H252" s="4"/>
      <c r="I252" s="372">
        <f t="shared" si="21"/>
        <v>0</v>
      </c>
      <c r="J252" s="359">
        <f t="shared" si="29"/>
        <v>0</v>
      </c>
    </row>
    <row r="253" spans="1:10" x14ac:dyDescent="0.35">
      <c r="A253" s="299"/>
      <c r="B253" s="881"/>
      <c r="C253" s="124"/>
      <c r="D253" s="4"/>
      <c r="E253" s="5"/>
      <c r="F253" s="21"/>
      <c r="G253" s="5"/>
      <c r="H253" s="4"/>
      <c r="I253" s="372">
        <f t="shared" si="21"/>
        <v>0</v>
      </c>
      <c r="J253" s="359">
        <f t="shared" si="28"/>
        <v>0</v>
      </c>
    </row>
    <row r="254" spans="1:10" x14ac:dyDescent="0.35">
      <c r="A254" s="299"/>
      <c r="B254" s="881"/>
      <c r="C254" s="124"/>
      <c r="D254" s="4"/>
      <c r="E254" s="5"/>
      <c r="F254" s="21"/>
      <c r="G254" s="5"/>
      <c r="H254" s="4"/>
      <c r="I254" s="372">
        <f t="shared" si="21"/>
        <v>0</v>
      </c>
      <c r="J254" s="359">
        <f t="shared" ref="J254:J255" si="30">D254*E254*I254</f>
        <v>0</v>
      </c>
    </row>
    <row r="255" spans="1:10" x14ac:dyDescent="0.35">
      <c r="A255" s="299"/>
      <c r="B255" s="881"/>
      <c r="C255" s="124"/>
      <c r="D255" s="4"/>
      <c r="E255" s="5"/>
      <c r="F255" s="21"/>
      <c r="G255" s="5"/>
      <c r="H255" s="4"/>
      <c r="I255" s="372">
        <f t="shared" si="21"/>
        <v>0</v>
      </c>
      <c r="J255" s="359">
        <f t="shared" si="30"/>
        <v>0</v>
      </c>
    </row>
    <row r="256" spans="1:10" x14ac:dyDescent="0.35">
      <c r="A256" s="299"/>
      <c r="B256" s="881"/>
      <c r="C256" s="124"/>
      <c r="D256" s="4"/>
      <c r="E256" s="5"/>
      <c r="F256" s="21"/>
      <c r="G256" s="5"/>
      <c r="H256" s="4"/>
      <c r="I256" s="372">
        <f t="shared" si="21"/>
        <v>0</v>
      </c>
      <c r="J256" s="359">
        <f t="shared" ref="J256:J257" si="31">D256*E256*I256</f>
        <v>0</v>
      </c>
    </row>
    <row r="257" spans="1:11" x14ac:dyDescent="0.35">
      <c r="A257" s="299"/>
      <c r="B257" s="881"/>
      <c r="C257" s="124"/>
      <c r="D257" s="4"/>
      <c r="E257" s="5"/>
      <c r="F257" s="21"/>
      <c r="G257" s="5"/>
      <c r="H257" s="4"/>
      <c r="I257" s="372">
        <f t="shared" si="21"/>
        <v>0</v>
      </c>
      <c r="J257" s="359">
        <f t="shared" si="31"/>
        <v>0</v>
      </c>
    </row>
    <row r="258" spans="1:11" x14ac:dyDescent="0.35">
      <c r="A258" s="299"/>
      <c r="B258" s="881"/>
      <c r="C258" s="124"/>
      <c r="D258" s="4"/>
      <c r="E258" s="5"/>
      <c r="F258" s="21"/>
      <c r="G258" s="5"/>
      <c r="H258" s="4"/>
      <c r="I258" s="372">
        <f t="shared" si="21"/>
        <v>0</v>
      </c>
      <c r="J258" s="359">
        <f>D258*E258*I258</f>
        <v>0</v>
      </c>
    </row>
    <row r="259" spans="1:11" x14ac:dyDescent="0.35">
      <c r="A259" s="299"/>
      <c r="B259" s="881"/>
      <c r="C259" s="130"/>
      <c r="D259" s="4"/>
      <c r="E259" s="5"/>
      <c r="F259" s="40"/>
      <c r="G259" s="5"/>
      <c r="H259" s="4"/>
      <c r="I259" s="372">
        <f t="shared" si="21"/>
        <v>0</v>
      </c>
      <c r="J259" s="359">
        <f>D259*E259*I259</f>
        <v>0</v>
      </c>
    </row>
    <row r="260" spans="1:11" ht="15" thickBot="1" x14ac:dyDescent="0.4">
      <c r="A260" s="299"/>
      <c r="B260" s="881"/>
      <c r="C260" s="132"/>
      <c r="D260" s="113"/>
      <c r="E260" s="114"/>
      <c r="F260" s="116"/>
      <c r="G260" s="114"/>
      <c r="H260" s="113"/>
      <c r="I260" s="373">
        <f t="shared" si="21"/>
        <v>0</v>
      </c>
      <c r="J260" s="374">
        <f>D260*E260*I260</f>
        <v>0</v>
      </c>
    </row>
    <row r="261" spans="1:11" ht="29" thickBot="1" x14ac:dyDescent="0.4">
      <c r="A261" s="299"/>
      <c r="B261" s="881"/>
      <c r="C261" s="888" t="str">
        <f>Language!A38</f>
        <v>Equipo (protección personal, materiales, electrónicos y otros…)</v>
      </c>
      <c r="D261" s="889"/>
      <c r="E261" s="889"/>
      <c r="F261" s="889"/>
      <c r="G261" s="889"/>
      <c r="H261" s="889"/>
      <c r="I261" s="889"/>
      <c r="J261" s="890"/>
      <c r="K261" s="343"/>
    </row>
    <row r="262" spans="1:11" ht="83.25" customHeight="1" x14ac:dyDescent="0.35">
      <c r="A262" s="299"/>
      <c r="B262" s="881"/>
      <c r="C262" s="375" t="s">
        <v>302</v>
      </c>
      <c r="D262" s="364" t="str">
        <f>Language!A33</f>
        <v>Cantidad []</v>
      </c>
      <c r="E262" s="365" t="str">
        <f>Language!A20</f>
        <v>Dedicación a la prestación del servicio de gestión de los residuos sólidos [%]</v>
      </c>
      <c r="F262" s="366" t="str">
        <f>Language!A34</f>
        <v>Costo unitario [$$$]</v>
      </c>
      <c r="G262" s="365" t="str">
        <f>Language!A35</f>
        <v>Tasa de interés préstamo [%]</v>
      </c>
      <c r="H262" s="364" t="str">
        <f>Language!A36</f>
        <v>Tiempo de vida [años]</v>
      </c>
      <c r="I262" s="376" t="str">
        <f>Language!A37</f>
        <v>Costo unitario por año [$$$/año]</v>
      </c>
      <c r="J262" s="368" t="s">
        <v>301</v>
      </c>
      <c r="K262" s="369"/>
    </row>
    <row r="263" spans="1:11" x14ac:dyDescent="0.35">
      <c r="A263" s="299"/>
      <c r="B263" s="881"/>
      <c r="C263" s="352" t="str">
        <f>Language!A24</f>
        <v>Barrido de vías y áreas públicas</v>
      </c>
      <c r="D263" s="370"/>
      <c r="E263" s="355"/>
      <c r="F263" s="371"/>
      <c r="G263" s="370"/>
      <c r="H263" s="370"/>
      <c r="I263" s="377"/>
      <c r="J263" s="359"/>
    </row>
    <row r="264" spans="1:11" x14ac:dyDescent="0.35">
      <c r="A264" s="299"/>
      <c r="B264" s="881"/>
      <c r="C264" s="130" t="s">
        <v>438</v>
      </c>
      <c r="D264" s="4">
        <v>0</v>
      </c>
      <c r="E264" s="5">
        <v>1</v>
      </c>
      <c r="F264" s="21">
        <v>0</v>
      </c>
      <c r="G264" s="5">
        <v>0</v>
      </c>
      <c r="H264" s="4">
        <v>0</v>
      </c>
      <c r="I264" s="372">
        <f t="shared" ref="I264:I327" si="32">IF(H264=0,0,IF(G264=0,E264*F264/H264,(F264*G264*((1+G264)^H264))/(((1+G264)^H264)-1)))</f>
        <v>0</v>
      </c>
      <c r="J264" s="359">
        <f t="shared" ref="J264:J269" si="33">D264*E264*I264</f>
        <v>0</v>
      </c>
    </row>
    <row r="265" spans="1:11" x14ac:dyDescent="0.35">
      <c r="A265" s="299"/>
      <c r="B265" s="881"/>
      <c r="C265" s="130" t="s">
        <v>439</v>
      </c>
      <c r="D265" s="4">
        <v>0</v>
      </c>
      <c r="E265" s="5">
        <v>1</v>
      </c>
      <c r="F265" s="21">
        <v>0</v>
      </c>
      <c r="G265" s="5">
        <v>0</v>
      </c>
      <c r="H265" s="4">
        <v>0</v>
      </c>
      <c r="I265" s="372">
        <f t="shared" si="32"/>
        <v>0</v>
      </c>
      <c r="J265" s="359">
        <f t="shared" si="33"/>
        <v>0</v>
      </c>
    </row>
    <row r="266" spans="1:11" x14ac:dyDescent="0.35">
      <c r="A266" s="299"/>
      <c r="B266" s="881"/>
      <c r="C266" s="130" t="s">
        <v>440</v>
      </c>
      <c r="D266" s="4">
        <v>0</v>
      </c>
      <c r="E266" s="5">
        <v>1</v>
      </c>
      <c r="F266" s="21">
        <v>0</v>
      </c>
      <c r="G266" s="5">
        <v>0</v>
      </c>
      <c r="H266" s="4">
        <v>0</v>
      </c>
      <c r="I266" s="372">
        <f t="shared" si="32"/>
        <v>0</v>
      </c>
      <c r="J266" s="359">
        <f t="shared" si="33"/>
        <v>0</v>
      </c>
    </row>
    <row r="267" spans="1:11" x14ac:dyDescent="0.35">
      <c r="A267" s="299"/>
      <c r="B267" s="881"/>
      <c r="C267" s="130" t="s">
        <v>441</v>
      </c>
      <c r="D267" s="4">
        <v>0</v>
      </c>
      <c r="E267" s="5">
        <v>1</v>
      </c>
      <c r="F267" s="21">
        <v>0</v>
      </c>
      <c r="G267" s="5">
        <v>0</v>
      </c>
      <c r="H267" s="4">
        <v>0</v>
      </c>
      <c r="I267" s="372">
        <f t="shared" si="32"/>
        <v>0</v>
      </c>
      <c r="J267" s="359">
        <f t="shared" si="33"/>
        <v>0</v>
      </c>
    </row>
    <row r="268" spans="1:11" x14ac:dyDescent="0.35">
      <c r="A268" s="299"/>
      <c r="B268" s="881"/>
      <c r="C268" s="130" t="s">
        <v>720</v>
      </c>
      <c r="D268" s="4">
        <v>0</v>
      </c>
      <c r="E268" s="5">
        <v>1</v>
      </c>
      <c r="F268" s="21">
        <v>0</v>
      </c>
      <c r="G268" s="5">
        <v>0</v>
      </c>
      <c r="H268" s="4">
        <v>0</v>
      </c>
      <c r="I268" s="372">
        <f t="shared" si="32"/>
        <v>0</v>
      </c>
      <c r="J268" s="359">
        <f t="shared" si="33"/>
        <v>0</v>
      </c>
    </row>
    <row r="269" spans="1:11" x14ac:dyDescent="0.35">
      <c r="A269" s="299"/>
      <c r="B269" s="881"/>
      <c r="C269" s="130" t="s">
        <v>442</v>
      </c>
      <c r="D269" s="4">
        <v>0</v>
      </c>
      <c r="E269" s="5">
        <v>1</v>
      </c>
      <c r="F269" s="21">
        <v>0</v>
      </c>
      <c r="G269" s="5">
        <v>0</v>
      </c>
      <c r="H269" s="4">
        <v>0</v>
      </c>
      <c r="I269" s="372">
        <f t="shared" si="32"/>
        <v>0</v>
      </c>
      <c r="J269" s="359">
        <f t="shared" si="33"/>
        <v>0</v>
      </c>
    </row>
    <row r="270" spans="1:11" x14ac:dyDescent="0.35">
      <c r="A270" s="299"/>
      <c r="B270" s="881"/>
      <c r="C270" s="130" t="s">
        <v>443</v>
      </c>
      <c r="D270" s="4">
        <v>0</v>
      </c>
      <c r="E270" s="5">
        <v>1</v>
      </c>
      <c r="F270" s="21">
        <v>0</v>
      </c>
      <c r="G270" s="5">
        <v>0</v>
      </c>
      <c r="H270" s="4">
        <v>0</v>
      </c>
      <c r="I270" s="372">
        <f t="shared" si="32"/>
        <v>0</v>
      </c>
      <c r="J270" s="359">
        <f t="shared" ref="J270:J275" si="34">D270*E270*I270</f>
        <v>0</v>
      </c>
    </row>
    <row r="271" spans="1:11" x14ac:dyDescent="0.35">
      <c r="A271" s="299"/>
      <c r="B271" s="881"/>
      <c r="C271" s="130" t="s">
        <v>444</v>
      </c>
      <c r="D271" s="4">
        <v>0</v>
      </c>
      <c r="E271" s="5">
        <v>1</v>
      </c>
      <c r="F271" s="21">
        <v>0</v>
      </c>
      <c r="G271" s="5">
        <v>0</v>
      </c>
      <c r="H271" s="4">
        <v>0</v>
      </c>
      <c r="I271" s="372">
        <f t="shared" si="32"/>
        <v>0</v>
      </c>
      <c r="J271" s="359">
        <f t="shared" si="34"/>
        <v>0</v>
      </c>
    </row>
    <row r="272" spans="1:11" x14ac:dyDescent="0.35">
      <c r="A272" s="299"/>
      <c r="B272" s="881"/>
      <c r="C272" s="130" t="s">
        <v>445</v>
      </c>
      <c r="D272" s="4">
        <v>0</v>
      </c>
      <c r="E272" s="5">
        <v>1</v>
      </c>
      <c r="F272" s="21">
        <v>0</v>
      </c>
      <c r="G272" s="5">
        <v>0</v>
      </c>
      <c r="H272" s="4">
        <v>0</v>
      </c>
      <c r="I272" s="372">
        <f t="shared" si="32"/>
        <v>0</v>
      </c>
      <c r="J272" s="359">
        <f t="shared" si="34"/>
        <v>0</v>
      </c>
    </row>
    <row r="273" spans="1:10" x14ac:dyDescent="0.35">
      <c r="A273" s="299"/>
      <c r="B273" s="881"/>
      <c r="C273" s="130" t="s">
        <v>446</v>
      </c>
      <c r="D273" s="4">
        <v>0</v>
      </c>
      <c r="E273" s="5">
        <v>1</v>
      </c>
      <c r="F273" s="21">
        <v>0</v>
      </c>
      <c r="G273" s="5">
        <v>0</v>
      </c>
      <c r="H273" s="4">
        <v>0</v>
      </c>
      <c r="I273" s="372">
        <f t="shared" si="32"/>
        <v>0</v>
      </c>
      <c r="J273" s="359">
        <f t="shared" si="34"/>
        <v>0</v>
      </c>
    </row>
    <row r="274" spans="1:10" x14ac:dyDescent="0.35">
      <c r="A274" s="299"/>
      <c r="B274" s="881"/>
      <c r="C274" s="130" t="s">
        <v>447</v>
      </c>
      <c r="D274" s="4">
        <v>0</v>
      </c>
      <c r="E274" s="5">
        <v>1</v>
      </c>
      <c r="F274" s="21">
        <v>0</v>
      </c>
      <c r="G274" s="5">
        <v>0</v>
      </c>
      <c r="H274" s="4">
        <v>0</v>
      </c>
      <c r="I274" s="372">
        <f t="shared" si="32"/>
        <v>0</v>
      </c>
      <c r="J274" s="359">
        <f t="shared" si="34"/>
        <v>0</v>
      </c>
    </row>
    <row r="275" spans="1:10" x14ac:dyDescent="0.35">
      <c r="A275" s="299"/>
      <c r="B275" s="881"/>
      <c r="C275" s="130" t="s">
        <v>448</v>
      </c>
      <c r="D275" s="4">
        <v>0</v>
      </c>
      <c r="E275" s="5">
        <v>1</v>
      </c>
      <c r="F275" s="21">
        <v>0</v>
      </c>
      <c r="G275" s="5">
        <v>0</v>
      </c>
      <c r="H275" s="4">
        <v>0</v>
      </c>
      <c r="I275" s="372">
        <f t="shared" si="32"/>
        <v>0</v>
      </c>
      <c r="J275" s="359">
        <f t="shared" si="34"/>
        <v>0</v>
      </c>
    </row>
    <row r="276" spans="1:10" x14ac:dyDescent="0.35">
      <c r="A276" s="299"/>
      <c r="B276" s="881"/>
      <c r="C276" s="130" t="s">
        <v>449</v>
      </c>
      <c r="D276" s="4">
        <v>0</v>
      </c>
      <c r="E276" s="5">
        <v>1</v>
      </c>
      <c r="F276" s="21">
        <v>0</v>
      </c>
      <c r="G276" s="5">
        <v>0</v>
      </c>
      <c r="H276" s="4">
        <v>0</v>
      </c>
      <c r="I276" s="372">
        <f t="shared" si="32"/>
        <v>0</v>
      </c>
      <c r="J276" s="359">
        <f t="shared" ref="J276:J289" si="35">D276*E276*I276</f>
        <v>0</v>
      </c>
    </row>
    <row r="277" spans="1:10" x14ac:dyDescent="0.35">
      <c r="A277" s="299"/>
      <c r="B277" s="881"/>
      <c r="C277" s="130" t="s">
        <v>450</v>
      </c>
      <c r="D277" s="4">
        <v>0</v>
      </c>
      <c r="E277" s="5">
        <v>1</v>
      </c>
      <c r="F277" s="21">
        <v>0</v>
      </c>
      <c r="G277" s="5">
        <v>0</v>
      </c>
      <c r="H277" s="4">
        <v>0</v>
      </c>
      <c r="I277" s="372">
        <f t="shared" si="32"/>
        <v>0</v>
      </c>
      <c r="J277" s="359">
        <f t="shared" si="35"/>
        <v>0</v>
      </c>
    </row>
    <row r="278" spans="1:10" x14ac:dyDescent="0.35">
      <c r="A278" s="299"/>
      <c r="B278" s="881"/>
      <c r="C278" s="130" t="s">
        <v>451</v>
      </c>
      <c r="D278" s="4">
        <v>0</v>
      </c>
      <c r="E278" s="5">
        <v>1</v>
      </c>
      <c r="F278" s="21">
        <v>0</v>
      </c>
      <c r="G278" s="5">
        <v>0</v>
      </c>
      <c r="H278" s="4">
        <v>0</v>
      </c>
      <c r="I278" s="372">
        <f t="shared" si="32"/>
        <v>0</v>
      </c>
      <c r="J278" s="359">
        <f t="shared" ref="J278:J286" si="36">D278*E278*I278</f>
        <v>0</v>
      </c>
    </row>
    <row r="279" spans="1:10" x14ac:dyDescent="0.35">
      <c r="A279" s="299"/>
      <c r="B279" s="881"/>
      <c r="C279" s="130" t="s">
        <v>452</v>
      </c>
      <c r="D279" s="4">
        <v>0</v>
      </c>
      <c r="E279" s="5">
        <v>1</v>
      </c>
      <c r="F279" s="21">
        <v>0</v>
      </c>
      <c r="G279" s="5">
        <v>0</v>
      </c>
      <c r="H279" s="4">
        <v>0</v>
      </c>
      <c r="I279" s="372">
        <f t="shared" si="32"/>
        <v>0</v>
      </c>
      <c r="J279" s="359">
        <f t="shared" si="36"/>
        <v>0</v>
      </c>
    </row>
    <row r="280" spans="1:10" x14ac:dyDescent="0.35">
      <c r="A280" s="299"/>
      <c r="B280" s="881"/>
      <c r="C280" s="130" t="s">
        <v>453</v>
      </c>
      <c r="D280" s="4">
        <v>0</v>
      </c>
      <c r="E280" s="5">
        <v>1</v>
      </c>
      <c r="F280" s="21">
        <v>0</v>
      </c>
      <c r="G280" s="5">
        <v>0</v>
      </c>
      <c r="H280" s="4">
        <v>0</v>
      </c>
      <c r="I280" s="372">
        <f t="shared" si="32"/>
        <v>0</v>
      </c>
      <c r="J280" s="359">
        <f t="shared" si="36"/>
        <v>0</v>
      </c>
    </row>
    <row r="281" spans="1:10" x14ac:dyDescent="0.35">
      <c r="A281" s="299"/>
      <c r="B281" s="881"/>
      <c r="C281" s="130" t="s">
        <v>130</v>
      </c>
      <c r="D281" s="4">
        <v>0</v>
      </c>
      <c r="E281" s="5">
        <v>1</v>
      </c>
      <c r="F281" s="21">
        <v>0</v>
      </c>
      <c r="G281" s="5">
        <v>0</v>
      </c>
      <c r="H281" s="4">
        <v>0</v>
      </c>
      <c r="I281" s="372">
        <f t="shared" si="32"/>
        <v>0</v>
      </c>
      <c r="J281" s="359">
        <f t="shared" si="36"/>
        <v>0</v>
      </c>
    </row>
    <row r="282" spans="1:10" x14ac:dyDescent="0.35">
      <c r="A282" s="299"/>
      <c r="B282" s="881"/>
      <c r="C282" s="130" t="s">
        <v>454</v>
      </c>
      <c r="D282" s="4">
        <v>0</v>
      </c>
      <c r="E282" s="5">
        <v>1</v>
      </c>
      <c r="F282" s="21">
        <v>0</v>
      </c>
      <c r="G282" s="5">
        <v>0</v>
      </c>
      <c r="H282" s="4">
        <v>0</v>
      </c>
      <c r="I282" s="372">
        <f t="shared" si="32"/>
        <v>0</v>
      </c>
      <c r="J282" s="359">
        <f t="shared" si="36"/>
        <v>0</v>
      </c>
    </row>
    <row r="283" spans="1:10" x14ac:dyDescent="0.35">
      <c r="A283" s="299"/>
      <c r="B283" s="881"/>
      <c r="C283" s="131" t="s">
        <v>455</v>
      </c>
      <c r="D283" s="4">
        <v>0</v>
      </c>
      <c r="E283" s="5">
        <v>1</v>
      </c>
      <c r="F283" s="21">
        <v>0</v>
      </c>
      <c r="G283" s="5">
        <v>0</v>
      </c>
      <c r="H283" s="4">
        <v>0</v>
      </c>
      <c r="I283" s="372">
        <f t="shared" si="32"/>
        <v>0</v>
      </c>
      <c r="J283" s="359">
        <f t="shared" si="36"/>
        <v>0</v>
      </c>
    </row>
    <row r="284" spans="1:10" x14ac:dyDescent="0.35">
      <c r="A284" s="299"/>
      <c r="B284" s="881"/>
      <c r="C284" s="131" t="s">
        <v>131</v>
      </c>
      <c r="D284" s="4">
        <v>0</v>
      </c>
      <c r="E284" s="5">
        <v>1</v>
      </c>
      <c r="F284" s="21">
        <v>0</v>
      </c>
      <c r="G284" s="5">
        <v>0</v>
      </c>
      <c r="H284" s="4">
        <v>0</v>
      </c>
      <c r="I284" s="372">
        <f t="shared" si="32"/>
        <v>0</v>
      </c>
      <c r="J284" s="359">
        <f t="shared" si="36"/>
        <v>0</v>
      </c>
    </row>
    <row r="285" spans="1:10" x14ac:dyDescent="0.35">
      <c r="A285" s="299"/>
      <c r="B285" s="881"/>
      <c r="C285" s="131" t="s">
        <v>456</v>
      </c>
      <c r="D285" s="4">
        <v>0</v>
      </c>
      <c r="E285" s="5">
        <v>1</v>
      </c>
      <c r="F285" s="21">
        <v>0</v>
      </c>
      <c r="G285" s="5">
        <v>0</v>
      </c>
      <c r="H285" s="4">
        <v>0</v>
      </c>
      <c r="I285" s="372">
        <f t="shared" si="32"/>
        <v>0</v>
      </c>
      <c r="J285" s="359">
        <f t="shared" si="36"/>
        <v>0</v>
      </c>
    </row>
    <row r="286" spans="1:10" x14ac:dyDescent="0.35">
      <c r="A286" s="299"/>
      <c r="B286" s="881"/>
      <c r="C286" s="131" t="s">
        <v>457</v>
      </c>
      <c r="D286" s="4">
        <v>0</v>
      </c>
      <c r="E286" s="5">
        <v>1</v>
      </c>
      <c r="F286" s="21">
        <v>0</v>
      </c>
      <c r="G286" s="5">
        <v>0</v>
      </c>
      <c r="H286" s="4">
        <v>0</v>
      </c>
      <c r="I286" s="372">
        <f t="shared" si="32"/>
        <v>0</v>
      </c>
      <c r="J286" s="359">
        <f t="shared" si="36"/>
        <v>0</v>
      </c>
    </row>
    <row r="287" spans="1:10" x14ac:dyDescent="0.35">
      <c r="A287" s="299"/>
      <c r="B287" s="881"/>
      <c r="C287" s="131" t="s">
        <v>458</v>
      </c>
      <c r="D287" s="4">
        <v>0</v>
      </c>
      <c r="E287" s="5">
        <v>1</v>
      </c>
      <c r="F287" s="21">
        <v>0</v>
      </c>
      <c r="G287" s="5">
        <v>0</v>
      </c>
      <c r="H287" s="4">
        <v>0</v>
      </c>
      <c r="I287" s="372">
        <f t="shared" si="32"/>
        <v>0</v>
      </c>
      <c r="J287" s="359">
        <f t="shared" si="35"/>
        <v>0</v>
      </c>
    </row>
    <row r="288" spans="1:10" x14ac:dyDescent="0.35">
      <c r="A288" s="299"/>
      <c r="B288" s="881"/>
      <c r="C288" s="131" t="s">
        <v>459</v>
      </c>
      <c r="D288" s="4">
        <v>0</v>
      </c>
      <c r="E288" s="5">
        <v>1</v>
      </c>
      <c r="F288" s="21">
        <v>0</v>
      </c>
      <c r="G288" s="5">
        <v>0</v>
      </c>
      <c r="H288" s="4">
        <v>0</v>
      </c>
      <c r="I288" s="372">
        <f t="shared" si="32"/>
        <v>0</v>
      </c>
      <c r="J288" s="359">
        <f t="shared" si="35"/>
        <v>0</v>
      </c>
    </row>
    <row r="289" spans="1:10" x14ac:dyDescent="0.35">
      <c r="A289" s="299"/>
      <c r="B289" s="881"/>
      <c r="C289" s="131" t="s">
        <v>460</v>
      </c>
      <c r="D289" s="4">
        <v>0</v>
      </c>
      <c r="E289" s="5">
        <v>1</v>
      </c>
      <c r="F289" s="21">
        <v>0</v>
      </c>
      <c r="G289" s="5">
        <v>0</v>
      </c>
      <c r="H289" s="4">
        <v>0</v>
      </c>
      <c r="I289" s="372">
        <f t="shared" si="32"/>
        <v>0</v>
      </c>
      <c r="J289" s="359">
        <f t="shared" si="35"/>
        <v>0</v>
      </c>
    </row>
    <row r="290" spans="1:10" x14ac:dyDescent="0.35">
      <c r="A290" s="299"/>
      <c r="B290" s="881"/>
      <c r="C290" s="131" t="s">
        <v>461</v>
      </c>
      <c r="D290" s="4">
        <v>0</v>
      </c>
      <c r="E290" s="5">
        <v>1</v>
      </c>
      <c r="F290" s="21">
        <v>0</v>
      </c>
      <c r="G290" s="5">
        <v>0</v>
      </c>
      <c r="H290" s="4">
        <v>0</v>
      </c>
      <c r="I290" s="372">
        <f t="shared" si="32"/>
        <v>0</v>
      </c>
      <c r="J290" s="359">
        <f t="shared" ref="J290:J305" si="37">D290*E290*I290</f>
        <v>0</v>
      </c>
    </row>
    <row r="291" spans="1:10" x14ac:dyDescent="0.35">
      <c r="A291" s="299"/>
      <c r="B291" s="881"/>
      <c r="C291" s="131" t="s">
        <v>462</v>
      </c>
      <c r="D291" s="4">
        <v>0</v>
      </c>
      <c r="E291" s="5">
        <v>1</v>
      </c>
      <c r="F291" s="21">
        <v>0</v>
      </c>
      <c r="G291" s="5">
        <v>0</v>
      </c>
      <c r="H291" s="4">
        <v>0</v>
      </c>
      <c r="I291" s="372">
        <f t="shared" si="32"/>
        <v>0</v>
      </c>
      <c r="J291" s="359">
        <f t="shared" si="37"/>
        <v>0</v>
      </c>
    </row>
    <row r="292" spans="1:10" x14ac:dyDescent="0.35">
      <c r="A292" s="299"/>
      <c r="B292" s="881"/>
      <c r="C292" s="131" t="s">
        <v>463</v>
      </c>
      <c r="D292" s="4">
        <v>0</v>
      </c>
      <c r="E292" s="5">
        <v>1</v>
      </c>
      <c r="F292" s="21">
        <v>0</v>
      </c>
      <c r="G292" s="5">
        <v>0</v>
      </c>
      <c r="H292" s="4">
        <v>0</v>
      </c>
      <c r="I292" s="372">
        <f t="shared" si="32"/>
        <v>0</v>
      </c>
      <c r="J292" s="359">
        <f t="shared" si="37"/>
        <v>0</v>
      </c>
    </row>
    <row r="293" spans="1:10" x14ac:dyDescent="0.35">
      <c r="A293" s="299"/>
      <c r="B293" s="881"/>
      <c r="C293" s="131" t="s">
        <v>464</v>
      </c>
      <c r="D293" s="4">
        <v>0</v>
      </c>
      <c r="E293" s="5">
        <v>1</v>
      </c>
      <c r="F293" s="21">
        <v>0</v>
      </c>
      <c r="G293" s="5">
        <v>0</v>
      </c>
      <c r="H293" s="4">
        <v>0</v>
      </c>
      <c r="I293" s="372">
        <f t="shared" si="32"/>
        <v>0</v>
      </c>
      <c r="J293" s="359">
        <f t="shared" si="37"/>
        <v>0</v>
      </c>
    </row>
    <row r="294" spans="1:10" x14ac:dyDescent="0.35">
      <c r="A294" s="299"/>
      <c r="B294" s="881"/>
      <c r="C294" s="131" t="s">
        <v>465</v>
      </c>
      <c r="D294" s="4">
        <v>0</v>
      </c>
      <c r="E294" s="5">
        <v>1</v>
      </c>
      <c r="F294" s="21">
        <v>0</v>
      </c>
      <c r="G294" s="5">
        <v>0</v>
      </c>
      <c r="H294" s="4">
        <v>0</v>
      </c>
      <c r="I294" s="372">
        <f t="shared" si="32"/>
        <v>0</v>
      </c>
      <c r="J294" s="359">
        <f t="shared" si="37"/>
        <v>0</v>
      </c>
    </row>
    <row r="295" spans="1:10" x14ac:dyDescent="0.35">
      <c r="A295" s="299"/>
      <c r="B295" s="881"/>
      <c r="C295" s="131" t="s">
        <v>466</v>
      </c>
      <c r="D295" s="4">
        <v>0</v>
      </c>
      <c r="E295" s="5">
        <v>1</v>
      </c>
      <c r="F295" s="21">
        <v>0</v>
      </c>
      <c r="G295" s="5">
        <v>0</v>
      </c>
      <c r="H295" s="4">
        <v>0</v>
      </c>
      <c r="I295" s="372">
        <f t="shared" si="32"/>
        <v>0</v>
      </c>
      <c r="J295" s="359">
        <f t="shared" si="37"/>
        <v>0</v>
      </c>
    </row>
    <row r="296" spans="1:10" x14ac:dyDescent="0.35">
      <c r="A296" s="299"/>
      <c r="B296" s="881"/>
      <c r="C296" s="131" t="s">
        <v>467</v>
      </c>
      <c r="D296" s="4">
        <v>0</v>
      </c>
      <c r="E296" s="5">
        <v>1</v>
      </c>
      <c r="F296" s="21">
        <v>0</v>
      </c>
      <c r="G296" s="5">
        <v>0</v>
      </c>
      <c r="H296" s="4">
        <v>0</v>
      </c>
      <c r="I296" s="372">
        <f t="shared" si="32"/>
        <v>0</v>
      </c>
      <c r="J296" s="359">
        <f t="shared" si="37"/>
        <v>0</v>
      </c>
    </row>
    <row r="297" spans="1:10" x14ac:dyDescent="0.35">
      <c r="A297" s="299"/>
      <c r="B297" s="881"/>
      <c r="C297" s="131" t="s">
        <v>468</v>
      </c>
      <c r="D297" s="4">
        <v>0</v>
      </c>
      <c r="E297" s="5">
        <v>1</v>
      </c>
      <c r="F297" s="21">
        <v>0</v>
      </c>
      <c r="G297" s="5">
        <v>0</v>
      </c>
      <c r="H297" s="4">
        <v>0</v>
      </c>
      <c r="I297" s="372">
        <f t="shared" si="32"/>
        <v>0</v>
      </c>
      <c r="J297" s="359">
        <f t="shared" si="37"/>
        <v>0</v>
      </c>
    </row>
    <row r="298" spans="1:10" x14ac:dyDescent="0.35">
      <c r="A298" s="299"/>
      <c r="B298" s="881"/>
      <c r="C298" s="131" t="s">
        <v>469</v>
      </c>
      <c r="D298" s="4">
        <v>0</v>
      </c>
      <c r="E298" s="5">
        <v>1</v>
      </c>
      <c r="F298" s="21">
        <v>0</v>
      </c>
      <c r="G298" s="5">
        <v>0</v>
      </c>
      <c r="H298" s="4">
        <v>0</v>
      </c>
      <c r="I298" s="372">
        <f t="shared" si="32"/>
        <v>0</v>
      </c>
      <c r="J298" s="359">
        <f t="shared" si="37"/>
        <v>0</v>
      </c>
    </row>
    <row r="299" spans="1:10" x14ac:dyDescent="0.35">
      <c r="A299" s="299"/>
      <c r="B299" s="881"/>
      <c r="C299" s="131" t="s">
        <v>470</v>
      </c>
      <c r="D299" s="4">
        <v>0</v>
      </c>
      <c r="E299" s="5">
        <v>1</v>
      </c>
      <c r="F299" s="21">
        <v>0</v>
      </c>
      <c r="G299" s="5">
        <v>0</v>
      </c>
      <c r="H299" s="4">
        <v>0</v>
      </c>
      <c r="I299" s="372">
        <f t="shared" si="32"/>
        <v>0</v>
      </c>
      <c r="J299" s="359">
        <f t="shared" si="37"/>
        <v>0</v>
      </c>
    </row>
    <row r="300" spans="1:10" x14ac:dyDescent="0.35">
      <c r="A300" s="299"/>
      <c r="B300" s="881"/>
      <c r="C300" s="131" t="s">
        <v>471</v>
      </c>
      <c r="D300" s="4">
        <v>0</v>
      </c>
      <c r="E300" s="5">
        <v>1</v>
      </c>
      <c r="F300" s="21">
        <v>0</v>
      </c>
      <c r="G300" s="5">
        <v>0</v>
      </c>
      <c r="H300" s="4">
        <v>0</v>
      </c>
      <c r="I300" s="372">
        <f t="shared" si="32"/>
        <v>0</v>
      </c>
      <c r="J300" s="359">
        <f t="shared" si="37"/>
        <v>0</v>
      </c>
    </row>
    <row r="301" spans="1:10" x14ac:dyDescent="0.35">
      <c r="A301" s="299"/>
      <c r="B301" s="881"/>
      <c r="C301" s="130" t="s">
        <v>721</v>
      </c>
      <c r="D301" s="4">
        <v>0</v>
      </c>
      <c r="E301" s="5">
        <v>1</v>
      </c>
      <c r="F301" s="21">
        <v>0</v>
      </c>
      <c r="G301" s="5">
        <v>0</v>
      </c>
      <c r="H301" s="4">
        <v>0</v>
      </c>
      <c r="I301" s="372">
        <f t="shared" si="32"/>
        <v>0</v>
      </c>
      <c r="J301" s="359">
        <f t="shared" si="37"/>
        <v>0</v>
      </c>
    </row>
    <row r="302" spans="1:10" x14ac:dyDescent="0.35">
      <c r="A302" s="299"/>
      <c r="B302" s="881"/>
      <c r="C302" s="131" t="s">
        <v>472</v>
      </c>
      <c r="D302" s="4">
        <v>0</v>
      </c>
      <c r="E302" s="5">
        <v>1</v>
      </c>
      <c r="F302" s="21">
        <v>0</v>
      </c>
      <c r="G302" s="5">
        <v>0</v>
      </c>
      <c r="H302" s="4">
        <v>0</v>
      </c>
      <c r="I302" s="372">
        <f t="shared" si="32"/>
        <v>0</v>
      </c>
      <c r="J302" s="359">
        <f t="shared" si="37"/>
        <v>0</v>
      </c>
    </row>
    <row r="303" spans="1:10" x14ac:dyDescent="0.35">
      <c r="A303" s="299"/>
      <c r="B303" s="881"/>
      <c r="C303" s="131" t="s">
        <v>473</v>
      </c>
      <c r="D303" s="4">
        <v>0</v>
      </c>
      <c r="E303" s="5">
        <v>1</v>
      </c>
      <c r="F303" s="21">
        <v>0</v>
      </c>
      <c r="G303" s="5">
        <v>0</v>
      </c>
      <c r="H303" s="4">
        <v>0</v>
      </c>
      <c r="I303" s="372">
        <f t="shared" si="32"/>
        <v>0</v>
      </c>
      <c r="J303" s="359">
        <f t="shared" si="37"/>
        <v>0</v>
      </c>
    </row>
    <row r="304" spans="1:10" x14ac:dyDescent="0.35">
      <c r="A304" s="299"/>
      <c r="B304" s="881"/>
      <c r="C304" s="131" t="s">
        <v>474</v>
      </c>
      <c r="D304" s="4">
        <v>0</v>
      </c>
      <c r="E304" s="5">
        <v>1</v>
      </c>
      <c r="F304" s="21">
        <v>0</v>
      </c>
      <c r="G304" s="5">
        <v>0</v>
      </c>
      <c r="H304" s="4">
        <v>0</v>
      </c>
      <c r="I304" s="372">
        <f t="shared" si="32"/>
        <v>0</v>
      </c>
      <c r="J304" s="359">
        <f t="shared" si="37"/>
        <v>0</v>
      </c>
    </row>
    <row r="305" spans="1:10" x14ac:dyDescent="0.35">
      <c r="A305" s="299"/>
      <c r="B305" s="881"/>
      <c r="C305" s="124" t="s">
        <v>125</v>
      </c>
      <c r="D305" s="4">
        <v>0</v>
      </c>
      <c r="E305" s="5">
        <v>1</v>
      </c>
      <c r="F305" s="21">
        <v>0</v>
      </c>
      <c r="G305" s="5">
        <v>0</v>
      </c>
      <c r="H305" s="4">
        <v>0</v>
      </c>
      <c r="I305" s="372">
        <f t="shared" si="32"/>
        <v>0</v>
      </c>
      <c r="J305" s="359">
        <f t="shared" si="37"/>
        <v>0</v>
      </c>
    </row>
    <row r="306" spans="1:10" x14ac:dyDescent="0.35">
      <c r="A306" s="299"/>
      <c r="B306" s="881"/>
      <c r="C306" s="124" t="s">
        <v>125</v>
      </c>
      <c r="D306" s="4"/>
      <c r="E306" s="5"/>
      <c r="F306" s="21"/>
      <c r="G306" s="5"/>
      <c r="H306" s="4"/>
      <c r="I306" s="372">
        <f t="shared" si="32"/>
        <v>0</v>
      </c>
      <c r="J306" s="359">
        <f t="shared" ref="J306:J313" si="38">D306*E306*I306</f>
        <v>0</v>
      </c>
    </row>
    <row r="307" spans="1:10" x14ac:dyDescent="0.35">
      <c r="A307" s="299"/>
      <c r="B307" s="881"/>
      <c r="C307" s="124" t="s">
        <v>125</v>
      </c>
      <c r="D307" s="4"/>
      <c r="E307" s="5"/>
      <c r="F307" s="21"/>
      <c r="G307" s="5"/>
      <c r="H307" s="4"/>
      <c r="I307" s="372">
        <f t="shared" si="32"/>
        <v>0</v>
      </c>
      <c r="J307" s="359">
        <f t="shared" si="38"/>
        <v>0</v>
      </c>
    </row>
    <row r="308" spans="1:10" x14ac:dyDescent="0.35">
      <c r="A308" s="299"/>
      <c r="B308" s="881"/>
      <c r="C308" s="131"/>
      <c r="D308" s="4"/>
      <c r="E308" s="5"/>
      <c r="F308" s="41"/>
      <c r="G308" s="5"/>
      <c r="H308" s="4"/>
      <c r="I308" s="372">
        <f t="shared" si="32"/>
        <v>0</v>
      </c>
      <c r="J308" s="359">
        <f t="shared" si="38"/>
        <v>0</v>
      </c>
    </row>
    <row r="309" spans="1:10" x14ac:dyDescent="0.35">
      <c r="A309" s="299"/>
      <c r="B309" s="881"/>
      <c r="C309" s="131"/>
      <c r="D309" s="4"/>
      <c r="E309" s="5"/>
      <c r="F309" s="21"/>
      <c r="G309" s="5"/>
      <c r="H309" s="4"/>
      <c r="I309" s="372">
        <f t="shared" si="32"/>
        <v>0</v>
      </c>
      <c r="J309" s="359">
        <f t="shared" si="38"/>
        <v>0</v>
      </c>
    </row>
    <row r="310" spans="1:10" x14ac:dyDescent="0.35">
      <c r="A310" s="299"/>
      <c r="B310" s="881"/>
      <c r="C310" s="130"/>
      <c r="D310" s="4"/>
      <c r="E310" s="5"/>
      <c r="F310" s="21"/>
      <c r="G310" s="5"/>
      <c r="H310" s="4"/>
      <c r="I310" s="372">
        <f t="shared" si="32"/>
        <v>0</v>
      </c>
      <c r="J310" s="359">
        <f t="shared" si="38"/>
        <v>0</v>
      </c>
    </row>
    <row r="311" spans="1:10" x14ac:dyDescent="0.35">
      <c r="A311" s="299"/>
      <c r="B311" s="881"/>
      <c r="C311" s="131"/>
      <c r="D311" s="4"/>
      <c r="E311" s="5"/>
      <c r="F311" s="21"/>
      <c r="G311" s="5"/>
      <c r="H311" s="4"/>
      <c r="I311" s="372">
        <f t="shared" si="32"/>
        <v>0</v>
      </c>
      <c r="J311" s="359">
        <f t="shared" si="38"/>
        <v>0</v>
      </c>
    </row>
    <row r="312" spans="1:10" x14ac:dyDescent="0.35">
      <c r="A312" s="299"/>
      <c r="B312" s="881"/>
      <c r="C312" s="131"/>
      <c r="D312" s="4"/>
      <c r="E312" s="5"/>
      <c r="F312" s="21"/>
      <c r="G312" s="5"/>
      <c r="H312" s="4"/>
      <c r="I312" s="372">
        <f t="shared" si="32"/>
        <v>0</v>
      </c>
      <c r="J312" s="359">
        <f t="shared" si="38"/>
        <v>0</v>
      </c>
    </row>
    <row r="313" spans="1:10" x14ac:dyDescent="0.35">
      <c r="A313" s="299"/>
      <c r="B313" s="881"/>
      <c r="C313" s="131"/>
      <c r="D313" s="4"/>
      <c r="E313" s="5"/>
      <c r="F313" s="21"/>
      <c r="G313" s="5"/>
      <c r="H313" s="4"/>
      <c r="I313" s="372">
        <f t="shared" si="32"/>
        <v>0</v>
      </c>
      <c r="J313" s="359">
        <f t="shared" si="38"/>
        <v>0</v>
      </c>
    </row>
    <row r="314" spans="1:10" x14ac:dyDescent="0.35">
      <c r="A314" s="299"/>
      <c r="B314" s="881"/>
      <c r="C314" s="352" t="str">
        <f>Language!A25</f>
        <v>Taller de mantenimiento</v>
      </c>
      <c r="D314" s="370"/>
      <c r="E314" s="355"/>
      <c r="F314" s="371"/>
      <c r="G314" s="370"/>
      <c r="H314" s="370"/>
      <c r="I314" s="377"/>
      <c r="J314" s="359"/>
    </row>
    <row r="315" spans="1:10" x14ac:dyDescent="0.35">
      <c r="A315" s="299"/>
      <c r="B315" s="881"/>
      <c r="C315" s="124" t="s">
        <v>389</v>
      </c>
      <c r="D315" s="4">
        <v>0</v>
      </c>
      <c r="E315" s="5">
        <v>1</v>
      </c>
      <c r="F315" s="21">
        <v>0</v>
      </c>
      <c r="G315" s="7">
        <v>0</v>
      </c>
      <c r="H315" s="4">
        <v>0</v>
      </c>
      <c r="I315" s="372">
        <f t="shared" si="32"/>
        <v>0</v>
      </c>
      <c r="J315" s="359">
        <f t="shared" ref="J315" si="39">D315*E315*I315</f>
        <v>0</v>
      </c>
    </row>
    <row r="316" spans="1:10" x14ac:dyDescent="0.35">
      <c r="A316" s="299"/>
      <c r="B316" s="881"/>
      <c r="C316" s="124" t="s">
        <v>390</v>
      </c>
      <c r="D316" s="4">
        <v>0</v>
      </c>
      <c r="E316" s="5">
        <v>1</v>
      </c>
      <c r="F316" s="21">
        <v>0</v>
      </c>
      <c r="G316" s="7">
        <v>0</v>
      </c>
      <c r="H316" s="4">
        <v>0</v>
      </c>
      <c r="I316" s="372">
        <f t="shared" si="32"/>
        <v>0</v>
      </c>
      <c r="J316" s="359">
        <f t="shared" ref="J316:J363" si="40">D316*E316*I316</f>
        <v>0</v>
      </c>
    </row>
    <row r="317" spans="1:10" x14ac:dyDescent="0.35">
      <c r="A317" s="299"/>
      <c r="B317" s="881"/>
      <c r="C317" s="124" t="s">
        <v>391</v>
      </c>
      <c r="D317" s="4">
        <v>0</v>
      </c>
      <c r="E317" s="5">
        <v>1</v>
      </c>
      <c r="F317" s="21">
        <v>0</v>
      </c>
      <c r="G317" s="7">
        <v>0</v>
      </c>
      <c r="H317" s="4">
        <v>0</v>
      </c>
      <c r="I317" s="372">
        <f t="shared" si="32"/>
        <v>0</v>
      </c>
      <c r="J317" s="359">
        <f t="shared" si="40"/>
        <v>0</v>
      </c>
    </row>
    <row r="318" spans="1:10" x14ac:dyDescent="0.35">
      <c r="A318" s="299"/>
      <c r="B318" s="881"/>
      <c r="C318" s="124" t="s">
        <v>392</v>
      </c>
      <c r="D318" s="4">
        <v>0</v>
      </c>
      <c r="E318" s="5">
        <v>1</v>
      </c>
      <c r="F318" s="21">
        <v>0</v>
      </c>
      <c r="G318" s="7">
        <v>0</v>
      </c>
      <c r="H318" s="4">
        <v>0</v>
      </c>
      <c r="I318" s="372">
        <f t="shared" si="32"/>
        <v>0</v>
      </c>
      <c r="J318" s="359">
        <f t="shared" si="40"/>
        <v>0</v>
      </c>
    </row>
    <row r="319" spans="1:10" x14ac:dyDescent="0.35">
      <c r="A319" s="299"/>
      <c r="B319" s="881"/>
      <c r="C319" s="124" t="s">
        <v>393</v>
      </c>
      <c r="D319" s="4">
        <v>0</v>
      </c>
      <c r="E319" s="5">
        <v>1</v>
      </c>
      <c r="F319" s="21">
        <v>0</v>
      </c>
      <c r="G319" s="7">
        <v>0</v>
      </c>
      <c r="H319" s="4">
        <v>0</v>
      </c>
      <c r="I319" s="372">
        <f t="shared" si="32"/>
        <v>0</v>
      </c>
      <c r="J319" s="359">
        <f t="shared" ref="J319:J361" si="41">D319*E319*I319</f>
        <v>0</v>
      </c>
    </row>
    <row r="320" spans="1:10" x14ac:dyDescent="0.35">
      <c r="A320" s="299"/>
      <c r="B320" s="881"/>
      <c r="C320" s="124" t="s">
        <v>394</v>
      </c>
      <c r="D320" s="4">
        <v>0</v>
      </c>
      <c r="E320" s="5">
        <v>1</v>
      </c>
      <c r="F320" s="21">
        <v>0</v>
      </c>
      <c r="G320" s="7">
        <v>0</v>
      </c>
      <c r="H320" s="4">
        <v>0</v>
      </c>
      <c r="I320" s="372">
        <f t="shared" si="32"/>
        <v>0</v>
      </c>
      <c r="J320" s="359">
        <f t="shared" si="41"/>
        <v>0</v>
      </c>
    </row>
    <row r="321" spans="1:10" x14ac:dyDescent="0.35">
      <c r="A321" s="299"/>
      <c r="B321" s="881"/>
      <c r="C321" s="124" t="s">
        <v>395</v>
      </c>
      <c r="D321" s="4">
        <v>0</v>
      </c>
      <c r="E321" s="5">
        <v>1</v>
      </c>
      <c r="F321" s="21">
        <v>0</v>
      </c>
      <c r="G321" s="7">
        <v>0</v>
      </c>
      <c r="H321" s="4">
        <v>0</v>
      </c>
      <c r="I321" s="372">
        <f t="shared" si="32"/>
        <v>0</v>
      </c>
      <c r="J321" s="359">
        <f t="shared" si="41"/>
        <v>0</v>
      </c>
    </row>
    <row r="322" spans="1:10" x14ac:dyDescent="0.35">
      <c r="A322" s="299"/>
      <c r="B322" s="881"/>
      <c r="C322" s="124" t="s">
        <v>396</v>
      </c>
      <c r="D322" s="4">
        <v>0</v>
      </c>
      <c r="E322" s="5">
        <v>1</v>
      </c>
      <c r="F322" s="21">
        <v>0</v>
      </c>
      <c r="G322" s="7">
        <v>0</v>
      </c>
      <c r="H322" s="4">
        <v>0</v>
      </c>
      <c r="I322" s="372">
        <f t="shared" si="32"/>
        <v>0</v>
      </c>
      <c r="J322" s="359">
        <f t="shared" si="41"/>
        <v>0</v>
      </c>
    </row>
    <row r="323" spans="1:10" x14ac:dyDescent="0.35">
      <c r="A323" s="299"/>
      <c r="B323" s="881"/>
      <c r="C323" s="124" t="s">
        <v>397</v>
      </c>
      <c r="D323" s="4">
        <v>0</v>
      </c>
      <c r="E323" s="5">
        <v>1</v>
      </c>
      <c r="F323" s="21">
        <v>0</v>
      </c>
      <c r="G323" s="7">
        <v>0</v>
      </c>
      <c r="H323" s="4">
        <v>0</v>
      </c>
      <c r="I323" s="372">
        <f t="shared" si="32"/>
        <v>0</v>
      </c>
      <c r="J323" s="359">
        <f t="shared" si="41"/>
        <v>0</v>
      </c>
    </row>
    <row r="324" spans="1:10" x14ac:dyDescent="0.35">
      <c r="A324" s="299"/>
      <c r="B324" s="881"/>
      <c r="C324" s="124" t="s">
        <v>398</v>
      </c>
      <c r="D324" s="4">
        <v>0</v>
      </c>
      <c r="E324" s="5">
        <v>1</v>
      </c>
      <c r="F324" s="21">
        <v>0</v>
      </c>
      <c r="G324" s="7">
        <v>0</v>
      </c>
      <c r="H324" s="4">
        <v>0</v>
      </c>
      <c r="I324" s="372">
        <f t="shared" si="32"/>
        <v>0</v>
      </c>
      <c r="J324" s="359">
        <f t="shared" si="41"/>
        <v>0</v>
      </c>
    </row>
    <row r="325" spans="1:10" x14ac:dyDescent="0.35">
      <c r="A325" s="299"/>
      <c r="B325" s="881"/>
      <c r="C325" s="124" t="s">
        <v>399</v>
      </c>
      <c r="D325" s="4">
        <v>0</v>
      </c>
      <c r="E325" s="5">
        <v>1</v>
      </c>
      <c r="F325" s="21">
        <v>0</v>
      </c>
      <c r="G325" s="7">
        <v>0</v>
      </c>
      <c r="H325" s="4">
        <v>0</v>
      </c>
      <c r="I325" s="372">
        <f t="shared" si="32"/>
        <v>0</v>
      </c>
      <c r="J325" s="359">
        <f t="shared" si="41"/>
        <v>0</v>
      </c>
    </row>
    <row r="326" spans="1:10" x14ac:dyDescent="0.35">
      <c r="A326" s="299"/>
      <c r="B326" s="881"/>
      <c r="C326" s="124" t="s">
        <v>400</v>
      </c>
      <c r="D326" s="4">
        <v>0</v>
      </c>
      <c r="E326" s="5">
        <v>1</v>
      </c>
      <c r="F326" s="21">
        <v>0</v>
      </c>
      <c r="G326" s="7">
        <v>0</v>
      </c>
      <c r="H326" s="4">
        <v>0</v>
      </c>
      <c r="I326" s="372">
        <f t="shared" si="32"/>
        <v>0</v>
      </c>
      <c r="J326" s="359">
        <f t="shared" ref="J326:J358" si="42">D326*E326*I326</f>
        <v>0</v>
      </c>
    </row>
    <row r="327" spans="1:10" x14ac:dyDescent="0.35">
      <c r="A327" s="299"/>
      <c r="B327" s="881"/>
      <c r="C327" s="124" t="s">
        <v>401</v>
      </c>
      <c r="D327" s="4">
        <v>0</v>
      </c>
      <c r="E327" s="5">
        <v>1</v>
      </c>
      <c r="F327" s="21">
        <v>0</v>
      </c>
      <c r="G327" s="7">
        <v>0</v>
      </c>
      <c r="H327" s="4">
        <v>0</v>
      </c>
      <c r="I327" s="372">
        <f t="shared" si="32"/>
        <v>0</v>
      </c>
      <c r="J327" s="359">
        <f t="shared" si="42"/>
        <v>0</v>
      </c>
    </row>
    <row r="328" spans="1:10" x14ac:dyDescent="0.35">
      <c r="A328" s="299"/>
      <c r="B328" s="881"/>
      <c r="C328" s="124" t="s">
        <v>402</v>
      </c>
      <c r="D328" s="4">
        <v>0</v>
      </c>
      <c r="E328" s="5">
        <v>1</v>
      </c>
      <c r="F328" s="21">
        <v>0</v>
      </c>
      <c r="G328" s="7">
        <v>0</v>
      </c>
      <c r="H328" s="4">
        <v>0</v>
      </c>
      <c r="I328" s="372">
        <f t="shared" ref="I328:I391" si="43">IF(H328=0,0,IF(G328=0,E328*F328/H328,(F328*G328*((1+G328)^H328))/(((1+G328)^H328)-1)))</f>
        <v>0</v>
      </c>
      <c r="J328" s="359">
        <f t="shared" si="42"/>
        <v>0</v>
      </c>
    </row>
    <row r="329" spans="1:10" x14ac:dyDescent="0.35">
      <c r="A329" s="299"/>
      <c r="B329" s="881"/>
      <c r="C329" s="124" t="s">
        <v>403</v>
      </c>
      <c r="D329" s="4">
        <v>0</v>
      </c>
      <c r="E329" s="5">
        <v>1</v>
      </c>
      <c r="F329" s="21">
        <v>0</v>
      </c>
      <c r="G329" s="7">
        <v>0</v>
      </c>
      <c r="H329" s="4">
        <v>0</v>
      </c>
      <c r="I329" s="372">
        <f t="shared" si="43"/>
        <v>0</v>
      </c>
      <c r="J329" s="359">
        <f t="shared" si="42"/>
        <v>0</v>
      </c>
    </row>
    <row r="330" spans="1:10" x14ac:dyDescent="0.35">
      <c r="A330" s="299"/>
      <c r="B330" s="881"/>
      <c r="C330" s="124" t="s">
        <v>404</v>
      </c>
      <c r="D330" s="4">
        <v>0</v>
      </c>
      <c r="E330" s="5">
        <v>1</v>
      </c>
      <c r="F330" s="21">
        <v>0</v>
      </c>
      <c r="G330" s="7">
        <v>0</v>
      </c>
      <c r="H330" s="4">
        <v>0</v>
      </c>
      <c r="I330" s="372">
        <f t="shared" si="43"/>
        <v>0</v>
      </c>
      <c r="J330" s="359">
        <f t="shared" si="42"/>
        <v>0</v>
      </c>
    </row>
    <row r="331" spans="1:10" x14ac:dyDescent="0.35">
      <c r="A331" s="299"/>
      <c r="B331" s="881"/>
      <c r="C331" s="124" t="s">
        <v>405</v>
      </c>
      <c r="D331" s="4">
        <v>0</v>
      </c>
      <c r="E331" s="5">
        <v>1</v>
      </c>
      <c r="F331" s="21">
        <v>0</v>
      </c>
      <c r="G331" s="7">
        <v>0</v>
      </c>
      <c r="H331" s="4">
        <v>0</v>
      </c>
      <c r="I331" s="372">
        <f t="shared" si="43"/>
        <v>0</v>
      </c>
      <c r="J331" s="359">
        <f t="shared" si="42"/>
        <v>0</v>
      </c>
    </row>
    <row r="332" spans="1:10" x14ac:dyDescent="0.35">
      <c r="A332" s="299"/>
      <c r="B332" s="881"/>
      <c r="C332" s="124" t="s">
        <v>406</v>
      </c>
      <c r="D332" s="4">
        <v>0</v>
      </c>
      <c r="E332" s="5">
        <v>1</v>
      </c>
      <c r="F332" s="21">
        <v>0</v>
      </c>
      <c r="G332" s="7">
        <v>0</v>
      </c>
      <c r="H332" s="4">
        <v>0</v>
      </c>
      <c r="I332" s="372">
        <f t="shared" si="43"/>
        <v>0</v>
      </c>
      <c r="J332" s="359">
        <f t="shared" si="42"/>
        <v>0</v>
      </c>
    </row>
    <row r="333" spans="1:10" x14ac:dyDescent="0.35">
      <c r="A333" s="299"/>
      <c r="B333" s="881"/>
      <c r="C333" s="124" t="s">
        <v>407</v>
      </c>
      <c r="D333" s="4">
        <v>0</v>
      </c>
      <c r="E333" s="5">
        <v>1</v>
      </c>
      <c r="F333" s="21">
        <v>0</v>
      </c>
      <c r="G333" s="7">
        <v>0</v>
      </c>
      <c r="H333" s="4">
        <v>0</v>
      </c>
      <c r="I333" s="372">
        <f t="shared" si="43"/>
        <v>0</v>
      </c>
      <c r="J333" s="359">
        <f t="shared" si="42"/>
        <v>0</v>
      </c>
    </row>
    <row r="334" spans="1:10" x14ac:dyDescent="0.35">
      <c r="A334" s="299"/>
      <c r="B334" s="881"/>
      <c r="C334" s="124" t="s">
        <v>408</v>
      </c>
      <c r="D334" s="4">
        <v>0</v>
      </c>
      <c r="E334" s="5">
        <v>1</v>
      </c>
      <c r="F334" s="21">
        <v>0</v>
      </c>
      <c r="G334" s="7">
        <v>0</v>
      </c>
      <c r="H334" s="4">
        <v>0</v>
      </c>
      <c r="I334" s="372">
        <f t="shared" si="43"/>
        <v>0</v>
      </c>
      <c r="J334" s="359">
        <f t="shared" si="42"/>
        <v>0</v>
      </c>
    </row>
    <row r="335" spans="1:10" x14ac:dyDescent="0.35">
      <c r="A335" s="299"/>
      <c r="B335" s="881"/>
      <c r="C335" s="124" t="s">
        <v>409</v>
      </c>
      <c r="D335" s="4">
        <v>0</v>
      </c>
      <c r="E335" s="5">
        <v>1</v>
      </c>
      <c r="F335" s="21">
        <v>0</v>
      </c>
      <c r="G335" s="7">
        <v>0</v>
      </c>
      <c r="H335" s="4">
        <v>0</v>
      </c>
      <c r="I335" s="372">
        <f t="shared" si="43"/>
        <v>0</v>
      </c>
      <c r="J335" s="359">
        <f t="shared" si="42"/>
        <v>0</v>
      </c>
    </row>
    <row r="336" spans="1:10" x14ac:dyDescent="0.35">
      <c r="A336" s="299"/>
      <c r="B336" s="881"/>
      <c r="C336" s="124" t="s">
        <v>410</v>
      </c>
      <c r="D336" s="4">
        <v>0</v>
      </c>
      <c r="E336" s="5">
        <v>1</v>
      </c>
      <c r="F336" s="21">
        <v>0</v>
      </c>
      <c r="G336" s="7">
        <v>0</v>
      </c>
      <c r="H336" s="4">
        <v>0</v>
      </c>
      <c r="I336" s="372">
        <f t="shared" si="43"/>
        <v>0</v>
      </c>
      <c r="J336" s="359">
        <f t="shared" si="42"/>
        <v>0</v>
      </c>
    </row>
    <row r="337" spans="1:10" x14ac:dyDescent="0.35">
      <c r="A337" s="299"/>
      <c r="B337" s="881"/>
      <c r="C337" s="124" t="s">
        <v>411</v>
      </c>
      <c r="D337" s="4">
        <v>0</v>
      </c>
      <c r="E337" s="5">
        <v>1</v>
      </c>
      <c r="F337" s="21">
        <v>0</v>
      </c>
      <c r="G337" s="7">
        <v>0</v>
      </c>
      <c r="H337" s="4">
        <v>0</v>
      </c>
      <c r="I337" s="372">
        <f t="shared" si="43"/>
        <v>0</v>
      </c>
      <c r="J337" s="359">
        <f t="shared" si="42"/>
        <v>0</v>
      </c>
    </row>
    <row r="338" spans="1:10" x14ac:dyDescent="0.35">
      <c r="A338" s="299"/>
      <c r="B338" s="881"/>
      <c r="C338" s="124" t="s">
        <v>412</v>
      </c>
      <c r="D338" s="4">
        <v>0</v>
      </c>
      <c r="E338" s="5">
        <v>1</v>
      </c>
      <c r="F338" s="21">
        <v>0</v>
      </c>
      <c r="G338" s="7">
        <v>0</v>
      </c>
      <c r="H338" s="4">
        <v>0</v>
      </c>
      <c r="I338" s="372">
        <f t="shared" si="43"/>
        <v>0</v>
      </c>
      <c r="J338" s="359">
        <f t="shared" si="42"/>
        <v>0</v>
      </c>
    </row>
    <row r="339" spans="1:10" x14ac:dyDescent="0.35">
      <c r="A339" s="299"/>
      <c r="B339" s="881"/>
      <c r="C339" s="124" t="s">
        <v>413</v>
      </c>
      <c r="D339" s="4">
        <v>0</v>
      </c>
      <c r="E339" s="5">
        <v>1</v>
      </c>
      <c r="F339" s="21">
        <v>0</v>
      </c>
      <c r="G339" s="7">
        <v>0</v>
      </c>
      <c r="H339" s="4">
        <v>0</v>
      </c>
      <c r="I339" s="372">
        <f t="shared" si="43"/>
        <v>0</v>
      </c>
      <c r="J339" s="359">
        <f t="shared" si="42"/>
        <v>0</v>
      </c>
    </row>
    <row r="340" spans="1:10" x14ac:dyDescent="0.35">
      <c r="A340" s="299"/>
      <c r="B340" s="881"/>
      <c r="C340" s="124" t="s">
        <v>414</v>
      </c>
      <c r="D340" s="4">
        <v>0</v>
      </c>
      <c r="E340" s="5">
        <v>1</v>
      </c>
      <c r="F340" s="21">
        <v>0</v>
      </c>
      <c r="G340" s="7">
        <v>0</v>
      </c>
      <c r="H340" s="4">
        <v>0</v>
      </c>
      <c r="I340" s="372">
        <f t="shared" si="43"/>
        <v>0</v>
      </c>
      <c r="J340" s="359">
        <f t="shared" si="42"/>
        <v>0</v>
      </c>
    </row>
    <row r="341" spans="1:10" x14ac:dyDescent="0.35">
      <c r="A341" s="299"/>
      <c r="B341" s="881"/>
      <c r="C341" s="124" t="s">
        <v>415</v>
      </c>
      <c r="D341" s="4">
        <v>0</v>
      </c>
      <c r="E341" s="5">
        <v>1</v>
      </c>
      <c r="F341" s="21">
        <v>0</v>
      </c>
      <c r="G341" s="7">
        <v>0</v>
      </c>
      <c r="H341" s="4">
        <v>0</v>
      </c>
      <c r="I341" s="372">
        <f t="shared" si="43"/>
        <v>0</v>
      </c>
      <c r="J341" s="359">
        <f t="shared" si="42"/>
        <v>0</v>
      </c>
    </row>
    <row r="342" spans="1:10" x14ac:dyDescent="0.35">
      <c r="A342" s="299"/>
      <c r="B342" s="881"/>
      <c r="C342" s="124" t="s">
        <v>416</v>
      </c>
      <c r="D342" s="4">
        <v>0</v>
      </c>
      <c r="E342" s="5">
        <v>1</v>
      </c>
      <c r="F342" s="21">
        <v>0</v>
      </c>
      <c r="G342" s="7">
        <v>0</v>
      </c>
      <c r="H342" s="4">
        <v>0</v>
      </c>
      <c r="I342" s="372">
        <f t="shared" si="43"/>
        <v>0</v>
      </c>
      <c r="J342" s="359">
        <f t="shared" si="42"/>
        <v>0</v>
      </c>
    </row>
    <row r="343" spans="1:10" x14ac:dyDescent="0.35">
      <c r="A343" s="299"/>
      <c r="B343" s="881"/>
      <c r="C343" s="124" t="s">
        <v>417</v>
      </c>
      <c r="D343" s="4">
        <v>0</v>
      </c>
      <c r="E343" s="5">
        <v>1</v>
      </c>
      <c r="F343" s="21">
        <v>0</v>
      </c>
      <c r="G343" s="7">
        <v>0</v>
      </c>
      <c r="H343" s="4">
        <v>0</v>
      </c>
      <c r="I343" s="372">
        <f t="shared" si="43"/>
        <v>0</v>
      </c>
      <c r="J343" s="359">
        <f t="shared" si="42"/>
        <v>0</v>
      </c>
    </row>
    <row r="344" spans="1:10" x14ac:dyDescent="0.35">
      <c r="A344" s="299"/>
      <c r="B344" s="881"/>
      <c r="C344" s="124" t="s">
        <v>418</v>
      </c>
      <c r="D344" s="4">
        <v>0</v>
      </c>
      <c r="E344" s="5">
        <v>1</v>
      </c>
      <c r="F344" s="21">
        <v>0</v>
      </c>
      <c r="G344" s="7">
        <v>0</v>
      </c>
      <c r="H344" s="4">
        <v>0</v>
      </c>
      <c r="I344" s="372">
        <f t="shared" si="43"/>
        <v>0</v>
      </c>
      <c r="J344" s="359">
        <f t="shared" si="42"/>
        <v>0</v>
      </c>
    </row>
    <row r="345" spans="1:10" x14ac:dyDescent="0.35">
      <c r="A345" s="299"/>
      <c r="B345" s="881"/>
      <c r="C345" s="124" t="s">
        <v>419</v>
      </c>
      <c r="D345" s="4">
        <v>0</v>
      </c>
      <c r="E345" s="5">
        <v>1</v>
      </c>
      <c r="F345" s="21">
        <v>0</v>
      </c>
      <c r="G345" s="7">
        <v>0</v>
      </c>
      <c r="H345" s="4">
        <v>0</v>
      </c>
      <c r="I345" s="372">
        <f t="shared" si="43"/>
        <v>0</v>
      </c>
      <c r="J345" s="359">
        <f t="shared" si="42"/>
        <v>0</v>
      </c>
    </row>
    <row r="346" spans="1:10" x14ac:dyDescent="0.35">
      <c r="A346" s="299"/>
      <c r="B346" s="881"/>
      <c r="C346" s="124" t="s">
        <v>420</v>
      </c>
      <c r="D346" s="4">
        <v>0</v>
      </c>
      <c r="E346" s="5">
        <v>1</v>
      </c>
      <c r="F346" s="21">
        <v>0</v>
      </c>
      <c r="G346" s="7">
        <v>0</v>
      </c>
      <c r="H346" s="4">
        <v>0</v>
      </c>
      <c r="I346" s="372">
        <f t="shared" si="43"/>
        <v>0</v>
      </c>
      <c r="J346" s="359">
        <f t="shared" si="42"/>
        <v>0</v>
      </c>
    </row>
    <row r="347" spans="1:10" x14ac:dyDescent="0.35">
      <c r="A347" s="299"/>
      <c r="B347" s="881"/>
      <c r="C347" s="124" t="s">
        <v>421</v>
      </c>
      <c r="D347" s="4">
        <v>0</v>
      </c>
      <c r="E347" s="5">
        <v>1</v>
      </c>
      <c r="F347" s="21">
        <v>0</v>
      </c>
      <c r="G347" s="7">
        <v>0</v>
      </c>
      <c r="H347" s="4">
        <v>0</v>
      </c>
      <c r="I347" s="372">
        <f t="shared" si="43"/>
        <v>0</v>
      </c>
      <c r="J347" s="359">
        <f t="shared" ref="J347:J354" si="44">D347*E347*I347</f>
        <v>0</v>
      </c>
    </row>
    <row r="348" spans="1:10" x14ac:dyDescent="0.35">
      <c r="A348" s="299"/>
      <c r="B348" s="881"/>
      <c r="C348" s="124" t="s">
        <v>422</v>
      </c>
      <c r="D348" s="4">
        <v>0</v>
      </c>
      <c r="E348" s="5">
        <v>1</v>
      </c>
      <c r="F348" s="21">
        <v>0</v>
      </c>
      <c r="G348" s="7">
        <v>0</v>
      </c>
      <c r="H348" s="4">
        <v>0</v>
      </c>
      <c r="I348" s="372">
        <f t="shared" si="43"/>
        <v>0</v>
      </c>
      <c r="J348" s="359">
        <f t="shared" si="44"/>
        <v>0</v>
      </c>
    </row>
    <row r="349" spans="1:10" x14ac:dyDescent="0.35">
      <c r="A349" s="299"/>
      <c r="B349" s="881"/>
      <c r="C349" s="124" t="s">
        <v>423</v>
      </c>
      <c r="D349" s="4">
        <v>0</v>
      </c>
      <c r="E349" s="5">
        <v>1</v>
      </c>
      <c r="F349" s="21">
        <v>0</v>
      </c>
      <c r="G349" s="7">
        <v>0</v>
      </c>
      <c r="H349" s="4">
        <v>0</v>
      </c>
      <c r="I349" s="372">
        <f t="shared" si="43"/>
        <v>0</v>
      </c>
      <c r="J349" s="359">
        <f t="shared" si="44"/>
        <v>0</v>
      </c>
    </row>
    <row r="350" spans="1:10" x14ac:dyDescent="0.35">
      <c r="A350" s="299"/>
      <c r="B350" s="881"/>
      <c r="C350" s="124" t="s">
        <v>424</v>
      </c>
      <c r="D350" s="4">
        <v>0</v>
      </c>
      <c r="E350" s="5">
        <v>1</v>
      </c>
      <c r="F350" s="21">
        <v>0</v>
      </c>
      <c r="G350" s="7">
        <v>0</v>
      </c>
      <c r="H350" s="4">
        <v>0</v>
      </c>
      <c r="I350" s="372">
        <f t="shared" si="43"/>
        <v>0</v>
      </c>
      <c r="J350" s="359">
        <f t="shared" si="44"/>
        <v>0</v>
      </c>
    </row>
    <row r="351" spans="1:10" x14ac:dyDescent="0.35">
      <c r="A351" s="299"/>
      <c r="B351" s="881"/>
      <c r="C351" s="124" t="s">
        <v>425</v>
      </c>
      <c r="D351" s="4">
        <v>0</v>
      </c>
      <c r="E351" s="5">
        <v>1</v>
      </c>
      <c r="F351" s="21">
        <v>0</v>
      </c>
      <c r="G351" s="7">
        <v>0</v>
      </c>
      <c r="H351" s="4">
        <v>0</v>
      </c>
      <c r="I351" s="372">
        <f t="shared" si="43"/>
        <v>0</v>
      </c>
      <c r="J351" s="359">
        <f t="shared" si="44"/>
        <v>0</v>
      </c>
    </row>
    <row r="352" spans="1:10" x14ac:dyDescent="0.35">
      <c r="A352" s="299"/>
      <c r="B352" s="881"/>
      <c r="C352" s="124" t="s">
        <v>426</v>
      </c>
      <c r="D352" s="4">
        <v>0</v>
      </c>
      <c r="E352" s="5">
        <v>1</v>
      </c>
      <c r="F352" s="21">
        <v>0</v>
      </c>
      <c r="G352" s="7">
        <v>0</v>
      </c>
      <c r="H352" s="4">
        <v>0</v>
      </c>
      <c r="I352" s="372">
        <f t="shared" si="43"/>
        <v>0</v>
      </c>
      <c r="J352" s="359">
        <f t="shared" si="44"/>
        <v>0</v>
      </c>
    </row>
    <row r="353" spans="1:10" x14ac:dyDescent="0.35">
      <c r="A353" s="299"/>
      <c r="B353" s="881"/>
      <c r="C353" s="124" t="s">
        <v>427</v>
      </c>
      <c r="D353" s="4">
        <v>0</v>
      </c>
      <c r="E353" s="5">
        <v>1</v>
      </c>
      <c r="F353" s="21">
        <v>0</v>
      </c>
      <c r="G353" s="7">
        <v>0</v>
      </c>
      <c r="H353" s="4">
        <v>0</v>
      </c>
      <c r="I353" s="372">
        <f t="shared" si="43"/>
        <v>0</v>
      </c>
      <c r="J353" s="359">
        <f t="shared" si="44"/>
        <v>0</v>
      </c>
    </row>
    <row r="354" spans="1:10" x14ac:dyDescent="0.35">
      <c r="A354" s="299"/>
      <c r="B354" s="881"/>
      <c r="C354" s="124" t="s">
        <v>428</v>
      </c>
      <c r="D354" s="4">
        <v>0</v>
      </c>
      <c r="E354" s="5">
        <v>1</v>
      </c>
      <c r="F354" s="21">
        <v>0</v>
      </c>
      <c r="G354" s="7">
        <v>0</v>
      </c>
      <c r="H354" s="4">
        <v>0</v>
      </c>
      <c r="I354" s="372">
        <f t="shared" si="43"/>
        <v>0</v>
      </c>
      <c r="J354" s="359">
        <f t="shared" si="44"/>
        <v>0</v>
      </c>
    </row>
    <row r="355" spans="1:10" x14ac:dyDescent="0.35">
      <c r="A355" s="299"/>
      <c r="B355" s="881"/>
      <c r="C355" s="124" t="s">
        <v>429</v>
      </c>
      <c r="D355" s="4">
        <v>0</v>
      </c>
      <c r="E355" s="5">
        <v>1</v>
      </c>
      <c r="F355" s="21">
        <v>0</v>
      </c>
      <c r="G355" s="7">
        <v>0</v>
      </c>
      <c r="H355" s="4">
        <v>0</v>
      </c>
      <c r="I355" s="372">
        <f t="shared" si="43"/>
        <v>0</v>
      </c>
      <c r="J355" s="359">
        <f t="shared" si="42"/>
        <v>0</v>
      </c>
    </row>
    <row r="356" spans="1:10" x14ac:dyDescent="0.35">
      <c r="A356" s="299"/>
      <c r="B356" s="881"/>
      <c r="C356" s="124" t="s">
        <v>430</v>
      </c>
      <c r="D356" s="4">
        <v>0</v>
      </c>
      <c r="E356" s="5">
        <v>1</v>
      </c>
      <c r="F356" s="21">
        <v>0</v>
      </c>
      <c r="G356" s="7">
        <v>0</v>
      </c>
      <c r="H356" s="4">
        <v>0</v>
      </c>
      <c r="I356" s="372">
        <f t="shared" si="43"/>
        <v>0</v>
      </c>
      <c r="J356" s="359">
        <f t="shared" si="42"/>
        <v>0</v>
      </c>
    </row>
    <row r="357" spans="1:10" x14ac:dyDescent="0.35">
      <c r="A357" s="299"/>
      <c r="B357" s="881"/>
      <c r="C357" s="124" t="s">
        <v>431</v>
      </c>
      <c r="D357" s="4">
        <v>0</v>
      </c>
      <c r="E357" s="5">
        <v>1</v>
      </c>
      <c r="F357" s="21">
        <v>0</v>
      </c>
      <c r="G357" s="7">
        <v>0</v>
      </c>
      <c r="H357" s="4">
        <v>0</v>
      </c>
      <c r="I357" s="372">
        <f t="shared" si="43"/>
        <v>0</v>
      </c>
      <c r="J357" s="359">
        <f t="shared" si="42"/>
        <v>0</v>
      </c>
    </row>
    <row r="358" spans="1:10" x14ac:dyDescent="0.35">
      <c r="A358" s="299"/>
      <c r="B358" s="881"/>
      <c r="C358" s="124" t="s">
        <v>432</v>
      </c>
      <c r="D358" s="4">
        <v>0</v>
      </c>
      <c r="E358" s="5">
        <v>1</v>
      </c>
      <c r="F358" s="21">
        <v>0</v>
      </c>
      <c r="G358" s="7">
        <v>0</v>
      </c>
      <c r="H358" s="4">
        <v>0</v>
      </c>
      <c r="I358" s="372">
        <f t="shared" si="43"/>
        <v>0</v>
      </c>
      <c r="J358" s="359">
        <f t="shared" si="42"/>
        <v>0</v>
      </c>
    </row>
    <row r="359" spans="1:10" x14ac:dyDescent="0.35">
      <c r="A359" s="299"/>
      <c r="B359" s="881"/>
      <c r="C359" s="124" t="s">
        <v>433</v>
      </c>
      <c r="D359" s="4">
        <v>0</v>
      </c>
      <c r="E359" s="5">
        <v>1</v>
      </c>
      <c r="F359" s="21">
        <v>0</v>
      </c>
      <c r="G359" s="7">
        <v>0</v>
      </c>
      <c r="H359" s="4">
        <v>0</v>
      </c>
      <c r="I359" s="372">
        <f t="shared" si="43"/>
        <v>0</v>
      </c>
      <c r="J359" s="359">
        <f t="shared" si="41"/>
        <v>0</v>
      </c>
    </row>
    <row r="360" spans="1:10" x14ac:dyDescent="0.35">
      <c r="A360" s="299"/>
      <c r="B360" s="881"/>
      <c r="C360" s="124" t="s">
        <v>434</v>
      </c>
      <c r="D360" s="4">
        <v>0</v>
      </c>
      <c r="E360" s="5">
        <v>1</v>
      </c>
      <c r="F360" s="21">
        <v>0</v>
      </c>
      <c r="G360" s="7">
        <v>0</v>
      </c>
      <c r="H360" s="4">
        <v>0</v>
      </c>
      <c r="I360" s="372">
        <f t="shared" si="43"/>
        <v>0</v>
      </c>
      <c r="J360" s="359">
        <f t="shared" si="41"/>
        <v>0</v>
      </c>
    </row>
    <row r="361" spans="1:10" x14ac:dyDescent="0.35">
      <c r="A361" s="299"/>
      <c r="B361" s="881"/>
      <c r="C361" s="124" t="s">
        <v>435</v>
      </c>
      <c r="D361" s="4">
        <v>0</v>
      </c>
      <c r="E361" s="5">
        <v>1</v>
      </c>
      <c r="F361" s="21">
        <v>0</v>
      </c>
      <c r="G361" s="7">
        <v>0</v>
      </c>
      <c r="H361" s="4">
        <v>0</v>
      </c>
      <c r="I361" s="372">
        <f t="shared" si="43"/>
        <v>0</v>
      </c>
      <c r="J361" s="359">
        <f t="shared" si="41"/>
        <v>0</v>
      </c>
    </row>
    <row r="362" spans="1:10" x14ac:dyDescent="0.35">
      <c r="A362" s="299"/>
      <c r="B362" s="881"/>
      <c r="C362" s="130" t="s">
        <v>476</v>
      </c>
      <c r="D362" s="4">
        <v>0</v>
      </c>
      <c r="E362" s="5">
        <v>1</v>
      </c>
      <c r="F362" s="21">
        <v>0</v>
      </c>
      <c r="G362" s="7">
        <v>0</v>
      </c>
      <c r="H362" s="4">
        <v>0</v>
      </c>
      <c r="I362" s="372">
        <f t="shared" si="43"/>
        <v>0</v>
      </c>
      <c r="J362" s="359">
        <f t="shared" si="40"/>
        <v>0</v>
      </c>
    </row>
    <row r="363" spans="1:10" x14ac:dyDescent="0.35">
      <c r="A363" s="299"/>
      <c r="B363" s="881"/>
      <c r="C363" s="133" t="s">
        <v>485</v>
      </c>
      <c r="D363" s="4">
        <v>0</v>
      </c>
      <c r="E363" s="5">
        <v>1</v>
      </c>
      <c r="F363" s="21">
        <v>0</v>
      </c>
      <c r="G363" s="5">
        <v>0</v>
      </c>
      <c r="H363" s="4">
        <v>0</v>
      </c>
      <c r="I363" s="372">
        <f t="shared" si="43"/>
        <v>0</v>
      </c>
      <c r="J363" s="359">
        <f t="shared" si="40"/>
        <v>0</v>
      </c>
    </row>
    <row r="364" spans="1:10" x14ac:dyDescent="0.35">
      <c r="A364" s="299"/>
      <c r="B364" s="881"/>
      <c r="C364" s="133" t="s">
        <v>486</v>
      </c>
      <c r="D364" s="4">
        <v>0</v>
      </c>
      <c r="E364" s="5">
        <v>1</v>
      </c>
      <c r="F364" s="21">
        <v>0</v>
      </c>
      <c r="G364" s="5">
        <v>0</v>
      </c>
      <c r="H364" s="4">
        <v>0</v>
      </c>
      <c r="I364" s="372">
        <f t="shared" si="43"/>
        <v>0</v>
      </c>
      <c r="J364" s="359">
        <f t="shared" ref="J364:J368" si="45">D364*E364*I364</f>
        <v>0</v>
      </c>
    </row>
    <row r="365" spans="1:10" x14ac:dyDescent="0.35">
      <c r="A365" s="299"/>
      <c r="B365" s="881"/>
      <c r="C365" s="133" t="s">
        <v>487</v>
      </c>
      <c r="D365" s="4">
        <v>0</v>
      </c>
      <c r="E365" s="5">
        <v>1</v>
      </c>
      <c r="F365" s="21">
        <v>0</v>
      </c>
      <c r="G365" s="5">
        <v>0</v>
      </c>
      <c r="H365" s="4">
        <v>0</v>
      </c>
      <c r="I365" s="372">
        <f t="shared" si="43"/>
        <v>0</v>
      </c>
      <c r="J365" s="359">
        <f t="shared" si="45"/>
        <v>0</v>
      </c>
    </row>
    <row r="366" spans="1:10" x14ac:dyDescent="0.35">
      <c r="A366" s="299"/>
      <c r="B366" s="881"/>
      <c r="C366" s="133" t="s">
        <v>488</v>
      </c>
      <c r="D366" s="4">
        <v>0</v>
      </c>
      <c r="E366" s="5">
        <v>1</v>
      </c>
      <c r="F366" s="21">
        <v>0</v>
      </c>
      <c r="G366" s="5">
        <v>0</v>
      </c>
      <c r="H366" s="4">
        <v>0</v>
      </c>
      <c r="I366" s="372">
        <f t="shared" si="43"/>
        <v>0</v>
      </c>
      <c r="J366" s="359">
        <f t="shared" si="45"/>
        <v>0</v>
      </c>
    </row>
    <row r="367" spans="1:10" x14ac:dyDescent="0.35">
      <c r="A367" s="299"/>
      <c r="B367" s="881"/>
      <c r="C367" s="133" t="s">
        <v>489</v>
      </c>
      <c r="D367" s="4">
        <v>0</v>
      </c>
      <c r="E367" s="5">
        <v>1</v>
      </c>
      <c r="F367" s="21">
        <v>0</v>
      </c>
      <c r="G367" s="5">
        <v>0</v>
      </c>
      <c r="H367" s="4">
        <v>0</v>
      </c>
      <c r="I367" s="372">
        <f t="shared" si="43"/>
        <v>0</v>
      </c>
      <c r="J367" s="359">
        <f t="shared" si="45"/>
        <v>0</v>
      </c>
    </row>
    <row r="368" spans="1:10" x14ac:dyDescent="0.35">
      <c r="A368" s="299"/>
      <c r="B368" s="881"/>
      <c r="C368" s="133" t="s">
        <v>435</v>
      </c>
      <c r="D368" s="4">
        <v>0</v>
      </c>
      <c r="E368" s="5">
        <v>1</v>
      </c>
      <c r="F368" s="21">
        <v>0</v>
      </c>
      <c r="G368" s="5">
        <v>0</v>
      </c>
      <c r="H368" s="4">
        <v>0</v>
      </c>
      <c r="I368" s="372">
        <f t="shared" si="43"/>
        <v>0</v>
      </c>
      <c r="J368" s="359">
        <f t="shared" si="45"/>
        <v>0</v>
      </c>
    </row>
    <row r="369" spans="1:10" x14ac:dyDescent="0.35">
      <c r="A369" s="299"/>
      <c r="B369" s="881"/>
      <c r="C369" s="133" t="s">
        <v>490</v>
      </c>
      <c r="D369" s="4">
        <v>0</v>
      </c>
      <c r="E369" s="5">
        <v>1</v>
      </c>
      <c r="F369" s="21">
        <v>0</v>
      </c>
      <c r="G369" s="5">
        <v>0</v>
      </c>
      <c r="H369" s="4">
        <v>0</v>
      </c>
      <c r="I369" s="372">
        <f t="shared" si="43"/>
        <v>0</v>
      </c>
      <c r="J369" s="359">
        <f t="shared" ref="J369" si="46">D369*E369*I369</f>
        <v>0</v>
      </c>
    </row>
    <row r="370" spans="1:10" x14ac:dyDescent="0.35">
      <c r="A370" s="299"/>
      <c r="B370" s="881"/>
      <c r="C370" s="133" t="s">
        <v>491</v>
      </c>
      <c r="D370" s="4">
        <v>0</v>
      </c>
      <c r="E370" s="5">
        <v>1</v>
      </c>
      <c r="F370" s="21">
        <v>0</v>
      </c>
      <c r="G370" s="5">
        <v>0</v>
      </c>
      <c r="H370" s="4">
        <v>0</v>
      </c>
      <c r="I370" s="372">
        <f t="shared" si="43"/>
        <v>0</v>
      </c>
      <c r="J370" s="359">
        <f>D370*E370*I370</f>
        <v>0</v>
      </c>
    </row>
    <row r="371" spans="1:10" x14ac:dyDescent="0.35">
      <c r="A371" s="299"/>
      <c r="B371" s="881"/>
      <c r="C371" s="133" t="s">
        <v>492</v>
      </c>
      <c r="D371" s="4">
        <v>0</v>
      </c>
      <c r="E371" s="5">
        <v>1</v>
      </c>
      <c r="F371" s="21">
        <v>0</v>
      </c>
      <c r="G371" s="5">
        <v>0</v>
      </c>
      <c r="H371" s="4">
        <v>0</v>
      </c>
      <c r="I371" s="372">
        <f t="shared" si="43"/>
        <v>0</v>
      </c>
      <c r="J371" s="359">
        <f t="shared" ref="J371:J378" si="47">D371*E371*I371</f>
        <v>0</v>
      </c>
    </row>
    <row r="372" spans="1:10" x14ac:dyDescent="0.35">
      <c r="A372" s="299"/>
      <c r="B372" s="881"/>
      <c r="C372" s="133" t="s">
        <v>493</v>
      </c>
      <c r="D372" s="4">
        <v>0</v>
      </c>
      <c r="E372" s="5">
        <v>1</v>
      </c>
      <c r="F372" s="21">
        <v>0</v>
      </c>
      <c r="G372" s="5">
        <v>0</v>
      </c>
      <c r="H372" s="4">
        <v>0</v>
      </c>
      <c r="I372" s="372">
        <f t="shared" si="43"/>
        <v>0</v>
      </c>
      <c r="J372" s="359">
        <f t="shared" si="47"/>
        <v>0</v>
      </c>
    </row>
    <row r="373" spans="1:10" x14ac:dyDescent="0.35">
      <c r="A373" s="299"/>
      <c r="B373" s="881"/>
      <c r="C373" s="133" t="s">
        <v>494</v>
      </c>
      <c r="D373" s="4">
        <v>0</v>
      </c>
      <c r="E373" s="5">
        <v>1</v>
      </c>
      <c r="F373" s="21">
        <v>0</v>
      </c>
      <c r="G373" s="5">
        <v>0</v>
      </c>
      <c r="H373" s="4">
        <v>0</v>
      </c>
      <c r="I373" s="372">
        <f t="shared" si="43"/>
        <v>0</v>
      </c>
      <c r="J373" s="359">
        <f t="shared" si="47"/>
        <v>0</v>
      </c>
    </row>
    <row r="374" spans="1:10" x14ac:dyDescent="0.35">
      <c r="A374" s="299"/>
      <c r="B374" s="881"/>
      <c r="C374" s="133" t="s">
        <v>495</v>
      </c>
      <c r="D374" s="4">
        <v>0</v>
      </c>
      <c r="E374" s="5">
        <v>1</v>
      </c>
      <c r="F374" s="21">
        <v>0</v>
      </c>
      <c r="G374" s="5">
        <v>0</v>
      </c>
      <c r="H374" s="4">
        <v>0</v>
      </c>
      <c r="I374" s="372">
        <f t="shared" si="43"/>
        <v>0</v>
      </c>
      <c r="J374" s="359">
        <f t="shared" si="47"/>
        <v>0</v>
      </c>
    </row>
    <row r="375" spans="1:10" x14ac:dyDescent="0.35">
      <c r="A375" s="299"/>
      <c r="B375" s="881"/>
      <c r="C375" s="133" t="s">
        <v>496</v>
      </c>
      <c r="D375" s="4">
        <v>0</v>
      </c>
      <c r="E375" s="5">
        <v>1</v>
      </c>
      <c r="F375" s="21">
        <v>0</v>
      </c>
      <c r="G375" s="5">
        <v>0</v>
      </c>
      <c r="H375" s="4">
        <v>0</v>
      </c>
      <c r="I375" s="372">
        <f t="shared" si="43"/>
        <v>0</v>
      </c>
      <c r="J375" s="359">
        <f t="shared" si="47"/>
        <v>0</v>
      </c>
    </row>
    <row r="376" spans="1:10" x14ac:dyDescent="0.35">
      <c r="A376" s="299"/>
      <c r="B376" s="881"/>
      <c r="C376" s="133" t="s">
        <v>497</v>
      </c>
      <c r="D376" s="4">
        <v>0</v>
      </c>
      <c r="E376" s="5">
        <v>1</v>
      </c>
      <c r="F376" s="21">
        <v>0</v>
      </c>
      <c r="G376" s="5">
        <v>0</v>
      </c>
      <c r="H376" s="4">
        <v>0</v>
      </c>
      <c r="I376" s="372">
        <f t="shared" si="43"/>
        <v>0</v>
      </c>
      <c r="J376" s="359">
        <f t="shared" si="47"/>
        <v>0</v>
      </c>
    </row>
    <row r="377" spans="1:10" x14ac:dyDescent="0.35">
      <c r="A377" s="299"/>
      <c r="B377" s="881"/>
      <c r="C377" s="124" t="s">
        <v>125</v>
      </c>
      <c r="D377" s="4">
        <v>0</v>
      </c>
      <c r="E377" s="5">
        <v>1</v>
      </c>
      <c r="F377" s="21">
        <v>0</v>
      </c>
      <c r="G377" s="5">
        <v>0</v>
      </c>
      <c r="H377" s="4">
        <v>0</v>
      </c>
      <c r="I377" s="372">
        <f t="shared" si="43"/>
        <v>0</v>
      </c>
      <c r="J377" s="359">
        <f t="shared" si="47"/>
        <v>0</v>
      </c>
    </row>
    <row r="378" spans="1:10" x14ac:dyDescent="0.35">
      <c r="A378" s="299"/>
      <c r="B378" s="881"/>
      <c r="C378" s="124" t="s">
        <v>125</v>
      </c>
      <c r="D378" s="4"/>
      <c r="E378" s="5"/>
      <c r="F378" s="21"/>
      <c r="G378" s="5"/>
      <c r="H378" s="4"/>
      <c r="I378" s="372">
        <f t="shared" si="43"/>
        <v>0</v>
      </c>
      <c r="J378" s="359">
        <f t="shared" si="47"/>
        <v>0</v>
      </c>
    </row>
    <row r="379" spans="1:10" x14ac:dyDescent="0.35">
      <c r="A379" s="299"/>
      <c r="B379" s="881"/>
      <c r="C379" s="124" t="s">
        <v>125</v>
      </c>
      <c r="D379" s="4"/>
      <c r="E379" s="5"/>
      <c r="F379" s="21"/>
      <c r="G379" s="5"/>
      <c r="H379" s="4"/>
      <c r="I379" s="372">
        <f t="shared" si="43"/>
        <v>0</v>
      </c>
      <c r="J379" s="359">
        <f t="shared" ref="J379:J384" si="48">D379*E379*I379</f>
        <v>0</v>
      </c>
    </row>
    <row r="380" spans="1:10" x14ac:dyDescent="0.35">
      <c r="A380" s="299"/>
      <c r="B380" s="881"/>
      <c r="C380" s="133"/>
      <c r="D380" s="4"/>
      <c r="E380" s="5"/>
      <c r="F380" s="21"/>
      <c r="G380" s="5"/>
      <c r="H380" s="4"/>
      <c r="I380" s="372">
        <f t="shared" si="43"/>
        <v>0</v>
      </c>
      <c r="J380" s="359">
        <f t="shared" si="48"/>
        <v>0</v>
      </c>
    </row>
    <row r="381" spans="1:10" x14ac:dyDescent="0.35">
      <c r="A381" s="299"/>
      <c r="B381" s="881"/>
      <c r="C381" s="133"/>
      <c r="D381" s="4"/>
      <c r="E381" s="5"/>
      <c r="F381" s="21"/>
      <c r="G381" s="5"/>
      <c r="H381" s="4"/>
      <c r="I381" s="372">
        <f t="shared" si="43"/>
        <v>0</v>
      </c>
      <c r="J381" s="359">
        <f t="shared" si="48"/>
        <v>0</v>
      </c>
    </row>
    <row r="382" spans="1:10" x14ac:dyDescent="0.35">
      <c r="A382" s="299"/>
      <c r="B382" s="881"/>
      <c r="C382" s="133"/>
      <c r="D382" s="4"/>
      <c r="E382" s="5"/>
      <c r="F382" s="21"/>
      <c r="G382" s="5"/>
      <c r="H382" s="4"/>
      <c r="I382" s="372">
        <f t="shared" si="43"/>
        <v>0</v>
      </c>
      <c r="J382" s="359">
        <f t="shared" si="48"/>
        <v>0</v>
      </c>
    </row>
    <row r="383" spans="1:10" x14ac:dyDescent="0.35">
      <c r="A383" s="299"/>
      <c r="B383" s="881"/>
      <c r="C383" s="133"/>
      <c r="D383" s="4"/>
      <c r="E383" s="5"/>
      <c r="F383" s="21"/>
      <c r="G383" s="5"/>
      <c r="H383" s="4"/>
      <c r="I383" s="372">
        <f t="shared" si="43"/>
        <v>0</v>
      </c>
      <c r="J383" s="359">
        <f t="shared" si="48"/>
        <v>0</v>
      </c>
    </row>
    <row r="384" spans="1:10" x14ac:dyDescent="0.35">
      <c r="A384" s="299"/>
      <c r="B384" s="881"/>
      <c r="C384" s="133"/>
      <c r="D384" s="4"/>
      <c r="E384" s="5"/>
      <c r="F384" s="21"/>
      <c r="G384" s="5"/>
      <c r="H384" s="4"/>
      <c r="I384" s="372">
        <f t="shared" si="43"/>
        <v>0</v>
      </c>
      <c r="J384" s="359">
        <f t="shared" si="48"/>
        <v>0</v>
      </c>
    </row>
    <row r="385" spans="1:10" x14ac:dyDescent="0.35">
      <c r="A385" s="299"/>
      <c r="B385" s="881"/>
      <c r="C385" s="360" t="str">
        <f>Language!A26</f>
        <v>Servicio de recolección</v>
      </c>
      <c r="D385" s="370"/>
      <c r="E385" s="355"/>
      <c r="F385" s="371"/>
      <c r="G385" s="370"/>
      <c r="H385" s="370"/>
      <c r="I385" s="377"/>
      <c r="J385" s="359"/>
    </row>
    <row r="386" spans="1:10" x14ac:dyDescent="0.35">
      <c r="A386" s="299"/>
      <c r="B386" s="881"/>
      <c r="C386" s="130" t="s">
        <v>438</v>
      </c>
      <c r="D386" s="4">
        <v>0</v>
      </c>
      <c r="E386" s="5">
        <v>1</v>
      </c>
      <c r="F386" s="21">
        <v>0</v>
      </c>
      <c r="G386" s="5">
        <v>0</v>
      </c>
      <c r="H386" s="4">
        <v>0</v>
      </c>
      <c r="I386" s="372">
        <f t="shared" si="43"/>
        <v>0</v>
      </c>
      <c r="J386" s="359">
        <f t="shared" ref="J386:J402" si="49">D386*E386*I386</f>
        <v>0</v>
      </c>
    </row>
    <row r="387" spans="1:10" x14ac:dyDescent="0.35">
      <c r="A387" s="299"/>
      <c r="B387" s="881"/>
      <c r="C387" s="130" t="s">
        <v>439</v>
      </c>
      <c r="D387" s="4">
        <v>0</v>
      </c>
      <c r="E387" s="5">
        <v>1</v>
      </c>
      <c r="F387" s="21">
        <v>0</v>
      </c>
      <c r="G387" s="5">
        <v>0</v>
      </c>
      <c r="H387" s="4">
        <v>0</v>
      </c>
      <c r="I387" s="372">
        <f t="shared" si="43"/>
        <v>0</v>
      </c>
      <c r="J387" s="359">
        <f t="shared" si="49"/>
        <v>0</v>
      </c>
    </row>
    <row r="388" spans="1:10" x14ac:dyDescent="0.35">
      <c r="A388" s="299"/>
      <c r="B388" s="881"/>
      <c r="C388" s="130" t="s">
        <v>440</v>
      </c>
      <c r="D388" s="4">
        <v>0</v>
      </c>
      <c r="E388" s="5">
        <v>1</v>
      </c>
      <c r="F388" s="21">
        <v>0</v>
      </c>
      <c r="G388" s="5">
        <v>0</v>
      </c>
      <c r="H388" s="4">
        <v>0</v>
      </c>
      <c r="I388" s="372">
        <f t="shared" si="43"/>
        <v>0</v>
      </c>
      <c r="J388" s="359">
        <f t="shared" ref="J388:J399" si="50">D388*E388*I388</f>
        <v>0</v>
      </c>
    </row>
    <row r="389" spans="1:10" x14ac:dyDescent="0.35">
      <c r="A389" s="299"/>
      <c r="B389" s="881"/>
      <c r="C389" s="130" t="s">
        <v>441</v>
      </c>
      <c r="D389" s="4">
        <v>0</v>
      </c>
      <c r="E389" s="5">
        <v>1</v>
      </c>
      <c r="F389" s="21">
        <v>0</v>
      </c>
      <c r="G389" s="5">
        <v>0</v>
      </c>
      <c r="H389" s="4">
        <v>0</v>
      </c>
      <c r="I389" s="372">
        <f t="shared" si="43"/>
        <v>0</v>
      </c>
      <c r="J389" s="359">
        <f t="shared" si="50"/>
        <v>0</v>
      </c>
    </row>
    <row r="390" spans="1:10" x14ac:dyDescent="0.35">
      <c r="A390" s="299"/>
      <c r="B390" s="881"/>
      <c r="C390" s="130" t="s">
        <v>451</v>
      </c>
      <c r="D390" s="4">
        <v>0</v>
      </c>
      <c r="E390" s="5">
        <v>1</v>
      </c>
      <c r="F390" s="21">
        <v>0</v>
      </c>
      <c r="G390" s="5">
        <v>0</v>
      </c>
      <c r="H390" s="4">
        <v>0</v>
      </c>
      <c r="I390" s="372">
        <f t="shared" si="43"/>
        <v>0</v>
      </c>
      <c r="J390" s="359">
        <f t="shared" si="50"/>
        <v>0</v>
      </c>
    </row>
    <row r="391" spans="1:10" x14ac:dyDescent="0.35">
      <c r="A391" s="299"/>
      <c r="B391" s="881"/>
      <c r="C391" s="130" t="s">
        <v>442</v>
      </c>
      <c r="D391" s="4">
        <v>0</v>
      </c>
      <c r="E391" s="5">
        <v>1</v>
      </c>
      <c r="F391" s="21">
        <v>0</v>
      </c>
      <c r="G391" s="5">
        <v>0</v>
      </c>
      <c r="H391" s="4">
        <v>0</v>
      </c>
      <c r="I391" s="372">
        <f t="shared" si="43"/>
        <v>0</v>
      </c>
      <c r="J391" s="359">
        <f t="shared" si="50"/>
        <v>0</v>
      </c>
    </row>
    <row r="392" spans="1:10" x14ac:dyDescent="0.35">
      <c r="A392" s="299"/>
      <c r="B392" s="881"/>
      <c r="C392" s="130" t="s">
        <v>443</v>
      </c>
      <c r="D392" s="4">
        <v>0</v>
      </c>
      <c r="E392" s="5">
        <v>1</v>
      </c>
      <c r="F392" s="21">
        <v>0</v>
      </c>
      <c r="G392" s="5">
        <v>0</v>
      </c>
      <c r="H392" s="4">
        <v>0</v>
      </c>
      <c r="I392" s="372">
        <f t="shared" ref="I392:I455" si="51">IF(H392=0,0,IF(G392=0,E392*F392/H392,(F392*G392*((1+G392)^H392))/(((1+G392)^H392)-1)))</f>
        <v>0</v>
      </c>
      <c r="J392" s="359">
        <f t="shared" si="50"/>
        <v>0</v>
      </c>
    </row>
    <row r="393" spans="1:10" x14ac:dyDescent="0.35">
      <c r="A393" s="299"/>
      <c r="B393" s="881"/>
      <c r="C393" s="130" t="s">
        <v>444</v>
      </c>
      <c r="D393" s="4">
        <v>0</v>
      </c>
      <c r="E393" s="5">
        <v>1</v>
      </c>
      <c r="F393" s="21">
        <v>0</v>
      </c>
      <c r="G393" s="5">
        <v>0</v>
      </c>
      <c r="H393" s="4">
        <v>0</v>
      </c>
      <c r="I393" s="372">
        <f t="shared" si="51"/>
        <v>0</v>
      </c>
      <c r="J393" s="359">
        <f t="shared" si="50"/>
        <v>0</v>
      </c>
    </row>
    <row r="394" spans="1:10" x14ac:dyDescent="0.35">
      <c r="A394" s="299"/>
      <c r="B394" s="881"/>
      <c r="C394" s="130" t="s">
        <v>445</v>
      </c>
      <c r="D394" s="4">
        <v>0</v>
      </c>
      <c r="E394" s="5">
        <v>1</v>
      </c>
      <c r="F394" s="21">
        <v>0</v>
      </c>
      <c r="G394" s="5">
        <v>0</v>
      </c>
      <c r="H394" s="4">
        <v>0</v>
      </c>
      <c r="I394" s="372">
        <f t="shared" si="51"/>
        <v>0</v>
      </c>
      <c r="J394" s="359">
        <f t="shared" si="50"/>
        <v>0</v>
      </c>
    </row>
    <row r="395" spans="1:10" x14ac:dyDescent="0.35">
      <c r="A395" s="299"/>
      <c r="B395" s="881"/>
      <c r="C395" s="130" t="s">
        <v>446</v>
      </c>
      <c r="D395" s="4">
        <v>0</v>
      </c>
      <c r="E395" s="5">
        <v>1</v>
      </c>
      <c r="F395" s="21">
        <v>0</v>
      </c>
      <c r="G395" s="5">
        <v>0</v>
      </c>
      <c r="H395" s="4">
        <v>0</v>
      </c>
      <c r="I395" s="372">
        <f t="shared" si="51"/>
        <v>0</v>
      </c>
      <c r="J395" s="359">
        <f t="shared" si="50"/>
        <v>0</v>
      </c>
    </row>
    <row r="396" spans="1:10" x14ac:dyDescent="0.35">
      <c r="A396" s="299"/>
      <c r="B396" s="881"/>
      <c r="C396" s="130" t="s">
        <v>447</v>
      </c>
      <c r="D396" s="4">
        <v>0</v>
      </c>
      <c r="E396" s="5">
        <v>1</v>
      </c>
      <c r="F396" s="21">
        <v>0</v>
      </c>
      <c r="G396" s="5">
        <v>0</v>
      </c>
      <c r="H396" s="4">
        <v>0</v>
      </c>
      <c r="I396" s="372">
        <f t="shared" si="51"/>
        <v>0</v>
      </c>
      <c r="J396" s="359">
        <f t="shared" si="50"/>
        <v>0</v>
      </c>
    </row>
    <row r="397" spans="1:10" x14ac:dyDescent="0.35">
      <c r="A397" s="299"/>
      <c r="B397" s="881"/>
      <c r="C397" s="130" t="s">
        <v>448</v>
      </c>
      <c r="D397" s="4">
        <v>0</v>
      </c>
      <c r="E397" s="5">
        <v>1</v>
      </c>
      <c r="F397" s="21">
        <v>0</v>
      </c>
      <c r="G397" s="5">
        <v>0</v>
      </c>
      <c r="H397" s="4">
        <v>0</v>
      </c>
      <c r="I397" s="372">
        <f t="shared" si="51"/>
        <v>0</v>
      </c>
      <c r="J397" s="359">
        <f t="shared" si="50"/>
        <v>0</v>
      </c>
    </row>
    <row r="398" spans="1:10" x14ac:dyDescent="0.35">
      <c r="A398" s="299"/>
      <c r="B398" s="881"/>
      <c r="C398" s="130" t="s">
        <v>452</v>
      </c>
      <c r="D398" s="4">
        <v>0</v>
      </c>
      <c r="E398" s="5">
        <v>1</v>
      </c>
      <c r="F398" s="21">
        <v>0</v>
      </c>
      <c r="G398" s="5">
        <v>0</v>
      </c>
      <c r="H398" s="4">
        <v>0</v>
      </c>
      <c r="I398" s="372">
        <f t="shared" si="51"/>
        <v>0</v>
      </c>
      <c r="J398" s="359">
        <f t="shared" si="50"/>
        <v>0</v>
      </c>
    </row>
    <row r="399" spans="1:10" x14ac:dyDescent="0.35">
      <c r="A399" s="299"/>
      <c r="B399" s="881"/>
      <c r="C399" s="131" t="s">
        <v>463</v>
      </c>
      <c r="D399" s="4">
        <v>0</v>
      </c>
      <c r="E399" s="5">
        <v>1</v>
      </c>
      <c r="F399" s="21">
        <v>0</v>
      </c>
      <c r="G399" s="5">
        <v>0</v>
      </c>
      <c r="H399" s="4">
        <v>0</v>
      </c>
      <c r="I399" s="372">
        <f t="shared" si="51"/>
        <v>0</v>
      </c>
      <c r="J399" s="359">
        <f t="shared" si="50"/>
        <v>0</v>
      </c>
    </row>
    <row r="400" spans="1:10" x14ac:dyDescent="0.35">
      <c r="A400" s="299"/>
      <c r="B400" s="881"/>
      <c r="C400" s="131" t="s">
        <v>464</v>
      </c>
      <c r="D400" s="4">
        <v>0</v>
      </c>
      <c r="E400" s="5">
        <v>1</v>
      </c>
      <c r="F400" s="21">
        <v>0</v>
      </c>
      <c r="G400" s="5">
        <v>0</v>
      </c>
      <c r="H400" s="4">
        <v>0</v>
      </c>
      <c r="I400" s="372">
        <f t="shared" si="51"/>
        <v>0</v>
      </c>
      <c r="J400" s="359">
        <f t="shared" si="49"/>
        <v>0</v>
      </c>
    </row>
    <row r="401" spans="1:10" x14ac:dyDescent="0.35">
      <c r="A401" s="299"/>
      <c r="B401" s="881"/>
      <c r="C401" s="124" t="s">
        <v>125</v>
      </c>
      <c r="D401" s="4">
        <v>0</v>
      </c>
      <c r="E401" s="5">
        <v>1</v>
      </c>
      <c r="F401" s="21">
        <v>0</v>
      </c>
      <c r="G401" s="5">
        <v>0</v>
      </c>
      <c r="H401" s="4">
        <v>0</v>
      </c>
      <c r="I401" s="372">
        <f t="shared" si="51"/>
        <v>0</v>
      </c>
      <c r="J401" s="359">
        <f t="shared" si="49"/>
        <v>0</v>
      </c>
    </row>
    <row r="402" spans="1:10" x14ac:dyDescent="0.35">
      <c r="A402" s="299"/>
      <c r="B402" s="881"/>
      <c r="C402" s="124" t="s">
        <v>125</v>
      </c>
      <c r="D402" s="4">
        <v>0</v>
      </c>
      <c r="E402" s="5">
        <v>1</v>
      </c>
      <c r="F402" s="21">
        <v>0</v>
      </c>
      <c r="G402" s="5">
        <v>0</v>
      </c>
      <c r="H402" s="4">
        <v>0</v>
      </c>
      <c r="I402" s="372">
        <f t="shared" si="51"/>
        <v>0</v>
      </c>
      <c r="J402" s="359">
        <f t="shared" si="49"/>
        <v>0</v>
      </c>
    </row>
    <row r="403" spans="1:10" x14ac:dyDescent="0.35">
      <c r="A403" s="299"/>
      <c r="B403" s="881"/>
      <c r="C403" s="124" t="s">
        <v>125</v>
      </c>
      <c r="D403" s="4">
        <v>0</v>
      </c>
      <c r="E403" s="5">
        <v>1</v>
      </c>
      <c r="F403" s="21">
        <v>0</v>
      </c>
      <c r="G403" s="5">
        <v>0</v>
      </c>
      <c r="H403" s="4">
        <v>0</v>
      </c>
      <c r="I403" s="372">
        <f t="shared" si="51"/>
        <v>0</v>
      </c>
      <c r="J403" s="359">
        <f t="shared" ref="J403:J435" si="52">D403*E403*I403</f>
        <v>0</v>
      </c>
    </row>
    <row r="404" spans="1:10" x14ac:dyDescent="0.35">
      <c r="A404" s="299"/>
      <c r="B404" s="881"/>
      <c r="C404" s="131" t="s">
        <v>686</v>
      </c>
      <c r="D404" s="4">
        <v>0</v>
      </c>
      <c r="E404" s="5">
        <v>1</v>
      </c>
      <c r="F404" s="21">
        <v>0</v>
      </c>
      <c r="G404" s="5">
        <v>0</v>
      </c>
      <c r="H404" s="4">
        <v>0</v>
      </c>
      <c r="I404" s="372">
        <f t="shared" si="51"/>
        <v>0</v>
      </c>
      <c r="J404" s="359">
        <f t="shared" si="52"/>
        <v>0</v>
      </c>
    </row>
    <row r="405" spans="1:10" x14ac:dyDescent="0.35">
      <c r="A405" s="299"/>
      <c r="B405" s="881"/>
      <c r="C405" s="131" t="s">
        <v>686</v>
      </c>
      <c r="D405" s="4">
        <v>0</v>
      </c>
      <c r="E405" s="5">
        <v>1</v>
      </c>
      <c r="F405" s="21">
        <v>0</v>
      </c>
      <c r="G405" s="5">
        <v>0</v>
      </c>
      <c r="H405" s="4">
        <v>0</v>
      </c>
      <c r="I405" s="372">
        <f t="shared" si="51"/>
        <v>0</v>
      </c>
      <c r="J405" s="359">
        <f t="shared" ref="J405:J413" si="53">D405*E405*I405</f>
        <v>0</v>
      </c>
    </row>
    <row r="406" spans="1:10" x14ac:dyDescent="0.35">
      <c r="A406" s="299"/>
      <c r="B406" s="881"/>
      <c r="C406" s="131" t="s">
        <v>686</v>
      </c>
      <c r="D406" s="4">
        <v>0</v>
      </c>
      <c r="E406" s="5">
        <v>1</v>
      </c>
      <c r="F406" s="21">
        <v>0</v>
      </c>
      <c r="G406" s="5">
        <v>0</v>
      </c>
      <c r="H406" s="4">
        <v>0</v>
      </c>
      <c r="I406" s="372">
        <f t="shared" si="51"/>
        <v>0</v>
      </c>
      <c r="J406" s="359">
        <f t="shared" si="53"/>
        <v>0</v>
      </c>
    </row>
    <row r="407" spans="1:10" x14ac:dyDescent="0.35">
      <c r="A407" s="299"/>
      <c r="B407" s="881"/>
      <c r="C407" s="131" t="s">
        <v>686</v>
      </c>
      <c r="D407" s="4">
        <v>0</v>
      </c>
      <c r="E407" s="5">
        <v>1</v>
      </c>
      <c r="F407" s="21">
        <v>0</v>
      </c>
      <c r="G407" s="5">
        <v>0</v>
      </c>
      <c r="H407" s="4">
        <v>0</v>
      </c>
      <c r="I407" s="372">
        <f t="shared" si="51"/>
        <v>0</v>
      </c>
      <c r="J407" s="359">
        <f t="shared" si="53"/>
        <v>0</v>
      </c>
    </row>
    <row r="408" spans="1:10" x14ac:dyDescent="0.35">
      <c r="A408" s="299"/>
      <c r="B408" s="881"/>
      <c r="C408" s="131" t="s">
        <v>686</v>
      </c>
      <c r="D408" s="4">
        <v>0</v>
      </c>
      <c r="E408" s="5">
        <v>1</v>
      </c>
      <c r="F408" s="21">
        <v>0</v>
      </c>
      <c r="G408" s="5">
        <v>0</v>
      </c>
      <c r="H408" s="4">
        <v>0</v>
      </c>
      <c r="I408" s="372">
        <f t="shared" si="51"/>
        <v>0</v>
      </c>
      <c r="J408" s="359">
        <f t="shared" si="53"/>
        <v>0</v>
      </c>
    </row>
    <row r="409" spans="1:10" x14ac:dyDescent="0.35">
      <c r="A409" s="299"/>
      <c r="B409" s="881"/>
      <c r="C409" s="131" t="s">
        <v>686</v>
      </c>
      <c r="D409" s="4">
        <v>0</v>
      </c>
      <c r="E409" s="5">
        <v>1</v>
      </c>
      <c r="F409" s="21">
        <v>0</v>
      </c>
      <c r="G409" s="5">
        <v>0</v>
      </c>
      <c r="H409" s="4">
        <v>0</v>
      </c>
      <c r="I409" s="372">
        <f t="shared" si="51"/>
        <v>0</v>
      </c>
      <c r="J409" s="359">
        <f t="shared" si="53"/>
        <v>0</v>
      </c>
    </row>
    <row r="410" spans="1:10" x14ac:dyDescent="0.35">
      <c r="A410" s="299"/>
      <c r="B410" s="881"/>
      <c r="C410" s="131" t="s">
        <v>686</v>
      </c>
      <c r="D410" s="4">
        <v>0</v>
      </c>
      <c r="E410" s="39">
        <v>1</v>
      </c>
      <c r="F410" s="21">
        <v>0</v>
      </c>
      <c r="G410" s="39">
        <v>0</v>
      </c>
      <c r="H410" s="4">
        <v>0</v>
      </c>
      <c r="I410" s="372">
        <f t="shared" si="51"/>
        <v>0</v>
      </c>
      <c r="J410" s="359">
        <f t="shared" si="53"/>
        <v>0</v>
      </c>
    </row>
    <row r="411" spans="1:10" x14ac:dyDescent="0.35">
      <c r="A411" s="299"/>
      <c r="B411" s="881"/>
      <c r="C411" s="131" t="s">
        <v>686</v>
      </c>
      <c r="D411" s="4">
        <v>0</v>
      </c>
      <c r="E411" s="5">
        <v>1</v>
      </c>
      <c r="F411" s="21">
        <v>0</v>
      </c>
      <c r="G411" s="5">
        <v>0</v>
      </c>
      <c r="H411" s="4">
        <v>0</v>
      </c>
      <c r="I411" s="372">
        <f t="shared" si="51"/>
        <v>0</v>
      </c>
      <c r="J411" s="359">
        <f t="shared" si="53"/>
        <v>0</v>
      </c>
    </row>
    <row r="412" spans="1:10" x14ac:dyDescent="0.35">
      <c r="A412" s="299"/>
      <c r="B412" s="881"/>
      <c r="C412" s="131" t="s">
        <v>686</v>
      </c>
      <c r="D412" s="4">
        <v>0</v>
      </c>
      <c r="E412" s="5">
        <v>1</v>
      </c>
      <c r="F412" s="21">
        <v>0</v>
      </c>
      <c r="G412" s="5">
        <v>0</v>
      </c>
      <c r="H412" s="4">
        <v>0</v>
      </c>
      <c r="I412" s="372">
        <f t="shared" si="51"/>
        <v>0</v>
      </c>
      <c r="J412" s="359">
        <f t="shared" si="53"/>
        <v>0</v>
      </c>
    </row>
    <row r="413" spans="1:10" x14ac:dyDescent="0.35">
      <c r="A413" s="299"/>
      <c r="B413" s="881"/>
      <c r="C413" s="131" t="s">
        <v>686</v>
      </c>
      <c r="D413" s="4">
        <v>0</v>
      </c>
      <c r="E413" s="5">
        <v>1</v>
      </c>
      <c r="F413" s="21">
        <v>0</v>
      </c>
      <c r="G413" s="5">
        <v>0</v>
      </c>
      <c r="H413" s="4">
        <v>0</v>
      </c>
      <c r="I413" s="372">
        <f t="shared" si="51"/>
        <v>0</v>
      </c>
      <c r="J413" s="359">
        <f t="shared" si="53"/>
        <v>0</v>
      </c>
    </row>
    <row r="414" spans="1:10" x14ac:dyDescent="0.35">
      <c r="A414" s="299"/>
      <c r="B414" s="881"/>
      <c r="C414" s="131" t="s">
        <v>686</v>
      </c>
      <c r="D414" s="4">
        <v>0</v>
      </c>
      <c r="E414" s="5">
        <v>1</v>
      </c>
      <c r="F414" s="21">
        <v>0</v>
      </c>
      <c r="G414" s="5">
        <v>0</v>
      </c>
      <c r="H414" s="4">
        <v>0</v>
      </c>
      <c r="I414" s="372">
        <f t="shared" si="51"/>
        <v>0</v>
      </c>
      <c r="J414" s="359">
        <f t="shared" si="52"/>
        <v>0</v>
      </c>
    </row>
    <row r="415" spans="1:10" x14ac:dyDescent="0.35">
      <c r="A415" s="299"/>
      <c r="B415" s="881"/>
      <c r="C415" s="131" t="s">
        <v>686</v>
      </c>
      <c r="D415" s="4">
        <v>0</v>
      </c>
      <c r="E415" s="5">
        <v>1</v>
      </c>
      <c r="F415" s="21">
        <v>0</v>
      </c>
      <c r="G415" s="5">
        <v>0</v>
      </c>
      <c r="H415" s="4">
        <v>0</v>
      </c>
      <c r="I415" s="372">
        <f t="shared" si="51"/>
        <v>0</v>
      </c>
      <c r="J415" s="359">
        <f t="shared" si="52"/>
        <v>0</v>
      </c>
    </row>
    <row r="416" spans="1:10" x14ac:dyDescent="0.35">
      <c r="A416" s="299"/>
      <c r="B416" s="881"/>
      <c r="C416" s="131" t="s">
        <v>686</v>
      </c>
      <c r="D416" s="4">
        <v>0</v>
      </c>
      <c r="E416" s="5">
        <v>1</v>
      </c>
      <c r="F416" s="21">
        <v>0</v>
      </c>
      <c r="G416" s="5">
        <v>0</v>
      </c>
      <c r="H416" s="4">
        <v>0</v>
      </c>
      <c r="I416" s="372">
        <f t="shared" si="51"/>
        <v>0</v>
      </c>
      <c r="J416" s="359">
        <f t="shared" si="52"/>
        <v>0</v>
      </c>
    </row>
    <row r="417" spans="1:10" x14ac:dyDescent="0.35">
      <c r="A417" s="299"/>
      <c r="B417" s="881"/>
      <c r="C417" s="131" t="s">
        <v>686</v>
      </c>
      <c r="D417" s="4">
        <v>0</v>
      </c>
      <c r="E417" s="5">
        <v>1</v>
      </c>
      <c r="F417" s="21">
        <v>0</v>
      </c>
      <c r="G417" s="5">
        <v>0</v>
      </c>
      <c r="H417" s="4">
        <v>0</v>
      </c>
      <c r="I417" s="372">
        <f t="shared" si="51"/>
        <v>0</v>
      </c>
      <c r="J417" s="359">
        <f t="shared" si="52"/>
        <v>0</v>
      </c>
    </row>
    <row r="418" spans="1:10" x14ac:dyDescent="0.35">
      <c r="A418" s="299"/>
      <c r="B418" s="881"/>
      <c r="C418" s="131" t="s">
        <v>686</v>
      </c>
      <c r="D418" s="4">
        <v>0</v>
      </c>
      <c r="E418" s="5">
        <v>1</v>
      </c>
      <c r="F418" s="21">
        <v>0</v>
      </c>
      <c r="G418" s="5">
        <v>0</v>
      </c>
      <c r="H418" s="4">
        <v>0</v>
      </c>
      <c r="I418" s="372">
        <f t="shared" si="51"/>
        <v>0</v>
      </c>
      <c r="J418" s="359">
        <f t="shared" si="52"/>
        <v>0</v>
      </c>
    </row>
    <row r="419" spans="1:10" x14ac:dyDescent="0.35">
      <c r="A419" s="299"/>
      <c r="B419" s="881"/>
      <c r="C419" s="131" t="s">
        <v>686</v>
      </c>
      <c r="D419" s="4">
        <v>0</v>
      </c>
      <c r="E419" s="5">
        <v>1</v>
      </c>
      <c r="F419" s="21">
        <v>0</v>
      </c>
      <c r="G419" s="5">
        <v>0</v>
      </c>
      <c r="H419" s="4">
        <v>0</v>
      </c>
      <c r="I419" s="372">
        <f t="shared" si="51"/>
        <v>0</v>
      </c>
      <c r="J419" s="359">
        <f t="shared" si="52"/>
        <v>0</v>
      </c>
    </row>
    <row r="420" spans="1:10" x14ac:dyDescent="0.35">
      <c r="A420" s="299"/>
      <c r="B420" s="881"/>
      <c r="C420" s="131" t="s">
        <v>686</v>
      </c>
      <c r="D420" s="4">
        <v>0</v>
      </c>
      <c r="E420" s="5">
        <v>1</v>
      </c>
      <c r="F420" s="21">
        <v>0</v>
      </c>
      <c r="G420" s="5">
        <v>0</v>
      </c>
      <c r="H420" s="4">
        <v>0</v>
      </c>
      <c r="I420" s="372">
        <f t="shared" si="51"/>
        <v>0</v>
      </c>
      <c r="J420" s="359">
        <f t="shared" si="52"/>
        <v>0</v>
      </c>
    </row>
    <row r="421" spans="1:10" x14ac:dyDescent="0.35">
      <c r="A421" s="299"/>
      <c r="B421" s="881"/>
      <c r="C421" s="131" t="s">
        <v>686</v>
      </c>
      <c r="D421" s="4">
        <v>0</v>
      </c>
      <c r="E421" s="5">
        <v>1</v>
      </c>
      <c r="F421" s="21">
        <v>0</v>
      </c>
      <c r="G421" s="5">
        <v>0</v>
      </c>
      <c r="H421" s="4">
        <v>0</v>
      </c>
      <c r="I421" s="372">
        <f t="shared" si="51"/>
        <v>0</v>
      </c>
      <c r="J421" s="359">
        <f t="shared" ref="J421:J430" si="54">D421*E421*I421</f>
        <v>0</v>
      </c>
    </row>
    <row r="422" spans="1:10" x14ac:dyDescent="0.35">
      <c r="A422" s="299"/>
      <c r="B422" s="881"/>
      <c r="C422" s="131" t="s">
        <v>686</v>
      </c>
      <c r="D422" s="4">
        <v>0</v>
      </c>
      <c r="E422" s="5">
        <v>1</v>
      </c>
      <c r="F422" s="21">
        <v>0</v>
      </c>
      <c r="G422" s="5">
        <v>0</v>
      </c>
      <c r="H422" s="4">
        <v>0</v>
      </c>
      <c r="I422" s="372">
        <f t="shared" si="51"/>
        <v>0</v>
      </c>
      <c r="J422" s="359">
        <f t="shared" si="54"/>
        <v>0</v>
      </c>
    </row>
    <row r="423" spans="1:10" x14ac:dyDescent="0.35">
      <c r="A423" s="299"/>
      <c r="B423" s="881"/>
      <c r="C423" s="130" t="s">
        <v>686</v>
      </c>
      <c r="D423" s="4">
        <v>0</v>
      </c>
      <c r="E423" s="5">
        <v>1</v>
      </c>
      <c r="F423" s="21">
        <v>0</v>
      </c>
      <c r="G423" s="5">
        <v>0</v>
      </c>
      <c r="H423" s="4">
        <v>0</v>
      </c>
      <c r="I423" s="372">
        <f t="shared" si="51"/>
        <v>0</v>
      </c>
      <c r="J423" s="359">
        <f t="shared" si="54"/>
        <v>0</v>
      </c>
    </row>
    <row r="424" spans="1:10" x14ac:dyDescent="0.35">
      <c r="A424" s="299"/>
      <c r="B424" s="881"/>
      <c r="C424" s="131" t="s">
        <v>686</v>
      </c>
      <c r="D424" s="4">
        <v>0</v>
      </c>
      <c r="E424" s="5">
        <v>1</v>
      </c>
      <c r="F424" s="21">
        <v>0</v>
      </c>
      <c r="G424" s="5">
        <v>0</v>
      </c>
      <c r="H424" s="4">
        <v>0</v>
      </c>
      <c r="I424" s="372">
        <f t="shared" si="51"/>
        <v>0</v>
      </c>
      <c r="J424" s="359">
        <f t="shared" si="54"/>
        <v>0</v>
      </c>
    </row>
    <row r="425" spans="1:10" x14ac:dyDescent="0.35">
      <c r="A425" s="299"/>
      <c r="B425" s="881"/>
      <c r="C425" s="131" t="s">
        <v>686</v>
      </c>
      <c r="D425" s="4">
        <v>0</v>
      </c>
      <c r="E425" s="5">
        <v>1</v>
      </c>
      <c r="F425" s="21">
        <v>0</v>
      </c>
      <c r="G425" s="5">
        <v>0</v>
      </c>
      <c r="H425" s="4">
        <v>0</v>
      </c>
      <c r="I425" s="372">
        <f t="shared" si="51"/>
        <v>0</v>
      </c>
      <c r="J425" s="359">
        <f t="shared" si="54"/>
        <v>0</v>
      </c>
    </row>
    <row r="426" spans="1:10" x14ac:dyDescent="0.35">
      <c r="A426" s="299"/>
      <c r="B426" s="881"/>
      <c r="C426" s="131" t="s">
        <v>686</v>
      </c>
      <c r="D426" s="4">
        <v>0</v>
      </c>
      <c r="E426" s="5">
        <v>1</v>
      </c>
      <c r="F426" s="21">
        <v>0</v>
      </c>
      <c r="G426" s="5">
        <v>0</v>
      </c>
      <c r="H426" s="4">
        <v>0</v>
      </c>
      <c r="I426" s="372">
        <f t="shared" si="51"/>
        <v>0</v>
      </c>
      <c r="J426" s="359">
        <f t="shared" si="54"/>
        <v>0</v>
      </c>
    </row>
    <row r="427" spans="1:10" x14ac:dyDescent="0.35">
      <c r="A427" s="299"/>
      <c r="B427" s="881"/>
      <c r="C427" s="131" t="s">
        <v>686</v>
      </c>
      <c r="D427" s="4">
        <v>0</v>
      </c>
      <c r="E427" s="5">
        <v>1</v>
      </c>
      <c r="F427" s="21">
        <v>0</v>
      </c>
      <c r="G427" s="5">
        <v>0</v>
      </c>
      <c r="H427" s="4">
        <v>0</v>
      </c>
      <c r="I427" s="372">
        <f t="shared" si="51"/>
        <v>0</v>
      </c>
      <c r="J427" s="359">
        <f t="shared" si="54"/>
        <v>0</v>
      </c>
    </row>
    <row r="428" spans="1:10" x14ac:dyDescent="0.35">
      <c r="A428" s="299"/>
      <c r="B428" s="881"/>
      <c r="C428" s="131"/>
      <c r="D428" s="4"/>
      <c r="E428" s="5"/>
      <c r="F428" s="21"/>
      <c r="G428" s="5"/>
      <c r="H428" s="4"/>
      <c r="I428" s="372">
        <f t="shared" si="51"/>
        <v>0</v>
      </c>
      <c r="J428" s="359">
        <f t="shared" si="54"/>
        <v>0</v>
      </c>
    </row>
    <row r="429" spans="1:10" x14ac:dyDescent="0.35">
      <c r="A429" s="299"/>
      <c r="B429" s="881"/>
      <c r="C429" s="131"/>
      <c r="D429" s="4"/>
      <c r="E429" s="5"/>
      <c r="F429" s="21"/>
      <c r="G429" s="5"/>
      <c r="H429" s="4"/>
      <c r="I429" s="372">
        <f t="shared" si="51"/>
        <v>0</v>
      </c>
      <c r="J429" s="359">
        <f t="shared" si="54"/>
        <v>0</v>
      </c>
    </row>
    <row r="430" spans="1:10" x14ac:dyDescent="0.35">
      <c r="A430" s="299"/>
      <c r="B430" s="881"/>
      <c r="C430" s="131"/>
      <c r="D430" s="4"/>
      <c r="E430" s="5"/>
      <c r="F430" s="41"/>
      <c r="G430" s="5"/>
      <c r="H430" s="4"/>
      <c r="I430" s="372">
        <f t="shared" si="51"/>
        <v>0</v>
      </c>
      <c r="J430" s="359">
        <f t="shared" si="54"/>
        <v>0</v>
      </c>
    </row>
    <row r="431" spans="1:10" x14ac:dyDescent="0.35">
      <c r="A431" s="299"/>
      <c r="B431" s="881"/>
      <c r="C431" s="131"/>
      <c r="D431" s="4"/>
      <c r="E431" s="5"/>
      <c r="F431" s="21"/>
      <c r="G431" s="5"/>
      <c r="H431" s="4"/>
      <c r="I431" s="372">
        <f t="shared" si="51"/>
        <v>0</v>
      </c>
      <c r="J431" s="359">
        <f t="shared" si="52"/>
        <v>0</v>
      </c>
    </row>
    <row r="432" spans="1:10" x14ac:dyDescent="0.35">
      <c r="A432" s="299"/>
      <c r="B432" s="881"/>
      <c r="C432" s="130"/>
      <c r="D432" s="4"/>
      <c r="E432" s="5"/>
      <c r="F432" s="21"/>
      <c r="G432" s="5"/>
      <c r="H432" s="4"/>
      <c r="I432" s="372">
        <f t="shared" si="51"/>
        <v>0</v>
      </c>
      <c r="J432" s="359">
        <f t="shared" si="52"/>
        <v>0</v>
      </c>
    </row>
    <row r="433" spans="1:10" x14ac:dyDescent="0.35">
      <c r="A433" s="299"/>
      <c r="B433" s="881"/>
      <c r="C433" s="131"/>
      <c r="D433" s="4"/>
      <c r="E433" s="5"/>
      <c r="F433" s="21"/>
      <c r="G433" s="5"/>
      <c r="H433" s="4"/>
      <c r="I433" s="372">
        <f t="shared" si="51"/>
        <v>0</v>
      </c>
      <c r="J433" s="359">
        <f t="shared" si="52"/>
        <v>0</v>
      </c>
    </row>
    <row r="434" spans="1:10" x14ac:dyDescent="0.35">
      <c r="A434" s="299"/>
      <c r="B434" s="881"/>
      <c r="C434" s="131"/>
      <c r="D434" s="4"/>
      <c r="E434" s="5"/>
      <c r="F434" s="21"/>
      <c r="G434" s="5"/>
      <c r="H434" s="4"/>
      <c r="I434" s="372">
        <f t="shared" si="51"/>
        <v>0</v>
      </c>
      <c r="J434" s="359">
        <f t="shared" si="52"/>
        <v>0</v>
      </c>
    </row>
    <row r="435" spans="1:10" x14ac:dyDescent="0.35">
      <c r="A435" s="299"/>
      <c r="B435" s="881"/>
      <c r="C435" s="131"/>
      <c r="D435" s="4"/>
      <c r="E435" s="5"/>
      <c r="F435" s="21"/>
      <c r="G435" s="5"/>
      <c r="H435" s="4"/>
      <c r="I435" s="372">
        <f t="shared" si="51"/>
        <v>0</v>
      </c>
      <c r="J435" s="359">
        <f t="shared" si="52"/>
        <v>0</v>
      </c>
    </row>
    <row r="436" spans="1:10" x14ac:dyDescent="0.35">
      <c r="A436" s="299"/>
      <c r="B436" s="881"/>
      <c r="C436" s="360" t="str">
        <f>Language!A27</f>
        <v>Planta de reciclaje</v>
      </c>
      <c r="D436" s="370"/>
      <c r="E436" s="355"/>
      <c r="F436" s="371"/>
      <c r="G436" s="370"/>
      <c r="H436" s="370"/>
      <c r="I436" s="377"/>
      <c r="J436" s="359"/>
    </row>
    <row r="437" spans="1:10" x14ac:dyDescent="0.35">
      <c r="A437" s="299"/>
      <c r="B437" s="881"/>
      <c r="C437" s="130" t="s">
        <v>438</v>
      </c>
      <c r="D437" s="4">
        <v>0</v>
      </c>
      <c r="E437" s="5">
        <v>1</v>
      </c>
      <c r="F437" s="21">
        <v>0</v>
      </c>
      <c r="G437" s="5">
        <v>0</v>
      </c>
      <c r="H437" s="4">
        <v>0</v>
      </c>
      <c r="I437" s="372">
        <f t="shared" si="51"/>
        <v>0</v>
      </c>
      <c r="J437" s="359">
        <f t="shared" ref="J437" si="55">D437*E437*I437</f>
        <v>0</v>
      </c>
    </row>
    <row r="438" spans="1:10" x14ac:dyDescent="0.35">
      <c r="A438" s="299"/>
      <c r="B438" s="881"/>
      <c r="C438" s="130" t="s">
        <v>439</v>
      </c>
      <c r="D438" s="4"/>
      <c r="E438" s="5"/>
      <c r="F438" s="21"/>
      <c r="G438" s="5"/>
      <c r="H438" s="4"/>
      <c r="I438" s="372">
        <f t="shared" si="51"/>
        <v>0</v>
      </c>
      <c r="J438" s="359">
        <f t="shared" ref="J438:J443" si="56">D438*E438*I438</f>
        <v>0</v>
      </c>
    </row>
    <row r="439" spans="1:10" x14ac:dyDescent="0.35">
      <c r="A439" s="299"/>
      <c r="B439" s="881"/>
      <c r="C439" s="130" t="s">
        <v>440</v>
      </c>
      <c r="D439" s="4"/>
      <c r="E439" s="5"/>
      <c r="F439" s="21"/>
      <c r="G439" s="5"/>
      <c r="H439" s="4"/>
      <c r="I439" s="372">
        <f t="shared" si="51"/>
        <v>0</v>
      </c>
      <c r="J439" s="359">
        <f t="shared" si="56"/>
        <v>0</v>
      </c>
    </row>
    <row r="440" spans="1:10" x14ac:dyDescent="0.35">
      <c r="A440" s="299"/>
      <c r="B440" s="881"/>
      <c r="C440" s="130" t="s">
        <v>441</v>
      </c>
      <c r="D440" s="4"/>
      <c r="E440" s="5"/>
      <c r="F440" s="21"/>
      <c r="G440" s="5"/>
      <c r="H440" s="4"/>
      <c r="I440" s="372">
        <f t="shared" si="51"/>
        <v>0</v>
      </c>
      <c r="J440" s="359">
        <f t="shared" si="56"/>
        <v>0</v>
      </c>
    </row>
    <row r="441" spans="1:10" x14ac:dyDescent="0.35">
      <c r="A441" s="299"/>
      <c r="B441" s="881"/>
      <c r="C441" s="130" t="s">
        <v>451</v>
      </c>
      <c r="D441" s="4"/>
      <c r="E441" s="5"/>
      <c r="F441" s="21"/>
      <c r="G441" s="5"/>
      <c r="H441" s="4"/>
      <c r="I441" s="372">
        <f t="shared" si="51"/>
        <v>0</v>
      </c>
      <c r="J441" s="359">
        <f t="shared" si="56"/>
        <v>0</v>
      </c>
    </row>
    <row r="442" spans="1:10" x14ac:dyDescent="0.35">
      <c r="A442" s="299"/>
      <c r="B442" s="881"/>
      <c r="C442" s="130" t="s">
        <v>442</v>
      </c>
      <c r="D442" s="4"/>
      <c r="E442" s="5"/>
      <c r="F442" s="21"/>
      <c r="G442" s="5"/>
      <c r="H442" s="4"/>
      <c r="I442" s="372">
        <f t="shared" si="51"/>
        <v>0</v>
      </c>
      <c r="J442" s="359">
        <f t="shared" si="56"/>
        <v>0</v>
      </c>
    </row>
    <row r="443" spans="1:10" x14ac:dyDescent="0.35">
      <c r="A443" s="299"/>
      <c r="B443" s="881"/>
      <c r="C443" s="130" t="s">
        <v>443</v>
      </c>
      <c r="D443" s="4"/>
      <c r="E443" s="5"/>
      <c r="F443" s="21"/>
      <c r="G443" s="5"/>
      <c r="H443" s="4"/>
      <c r="I443" s="372">
        <f t="shared" si="51"/>
        <v>0</v>
      </c>
      <c r="J443" s="359">
        <f t="shared" si="56"/>
        <v>0</v>
      </c>
    </row>
    <row r="444" spans="1:10" x14ac:dyDescent="0.35">
      <c r="A444" s="299"/>
      <c r="B444" s="881"/>
      <c r="C444" s="130" t="s">
        <v>445</v>
      </c>
      <c r="D444" s="4"/>
      <c r="E444" s="5"/>
      <c r="F444" s="21"/>
      <c r="G444" s="5"/>
      <c r="H444" s="4"/>
      <c r="I444" s="372">
        <f t="shared" si="51"/>
        <v>0</v>
      </c>
      <c r="J444" s="359">
        <f t="shared" ref="J444:J447" si="57">D444*E444*I444</f>
        <v>0</v>
      </c>
    </row>
    <row r="445" spans="1:10" x14ac:dyDescent="0.35">
      <c r="A445" s="299"/>
      <c r="B445" s="881"/>
      <c r="C445" s="130" t="s">
        <v>446</v>
      </c>
      <c r="D445" s="4"/>
      <c r="E445" s="5"/>
      <c r="F445" s="21"/>
      <c r="G445" s="5"/>
      <c r="H445" s="4"/>
      <c r="I445" s="372">
        <f t="shared" si="51"/>
        <v>0</v>
      </c>
      <c r="J445" s="359">
        <f t="shared" si="57"/>
        <v>0</v>
      </c>
    </row>
    <row r="446" spans="1:10" x14ac:dyDescent="0.35">
      <c r="A446" s="299"/>
      <c r="B446" s="881"/>
      <c r="C446" s="130" t="s">
        <v>447</v>
      </c>
      <c r="D446" s="4"/>
      <c r="E446" s="5"/>
      <c r="F446" s="21"/>
      <c r="G446" s="5"/>
      <c r="H446" s="4"/>
      <c r="I446" s="372">
        <f t="shared" si="51"/>
        <v>0</v>
      </c>
      <c r="J446" s="359">
        <f t="shared" si="57"/>
        <v>0</v>
      </c>
    </row>
    <row r="447" spans="1:10" x14ac:dyDescent="0.35">
      <c r="A447" s="299"/>
      <c r="B447" s="881"/>
      <c r="C447" s="130" t="s">
        <v>448</v>
      </c>
      <c r="D447" s="4"/>
      <c r="E447" s="5"/>
      <c r="F447" s="21"/>
      <c r="G447" s="5"/>
      <c r="H447" s="4"/>
      <c r="I447" s="372">
        <f t="shared" si="51"/>
        <v>0</v>
      </c>
      <c r="J447" s="359">
        <f t="shared" si="57"/>
        <v>0</v>
      </c>
    </row>
    <row r="448" spans="1:10" x14ac:dyDescent="0.35">
      <c r="A448" s="299"/>
      <c r="B448" s="881"/>
      <c r="C448" s="130" t="s">
        <v>452</v>
      </c>
      <c r="D448" s="4"/>
      <c r="E448" s="5"/>
      <c r="F448" s="21"/>
      <c r="G448" s="5"/>
      <c r="H448" s="4"/>
      <c r="I448" s="372">
        <f t="shared" si="51"/>
        <v>0</v>
      </c>
      <c r="J448" s="359">
        <f t="shared" ref="J448:J453" si="58">D448*E448*I448</f>
        <v>0</v>
      </c>
    </row>
    <row r="449" spans="1:10" x14ac:dyDescent="0.35">
      <c r="A449" s="299"/>
      <c r="B449" s="881"/>
      <c r="C449" s="131" t="s">
        <v>463</v>
      </c>
      <c r="D449" s="4"/>
      <c r="E449" s="5"/>
      <c r="F449" s="21"/>
      <c r="G449" s="5"/>
      <c r="H449" s="4"/>
      <c r="I449" s="372">
        <f t="shared" si="51"/>
        <v>0</v>
      </c>
      <c r="J449" s="359">
        <f t="shared" si="58"/>
        <v>0</v>
      </c>
    </row>
    <row r="450" spans="1:10" x14ac:dyDescent="0.35">
      <c r="A450" s="299"/>
      <c r="B450" s="881"/>
      <c r="C450" s="131" t="s">
        <v>464</v>
      </c>
      <c r="D450" s="4"/>
      <c r="E450" s="5"/>
      <c r="F450" s="21"/>
      <c r="G450" s="5"/>
      <c r="H450" s="4"/>
      <c r="I450" s="372">
        <f t="shared" si="51"/>
        <v>0</v>
      </c>
      <c r="J450" s="359">
        <f t="shared" si="58"/>
        <v>0</v>
      </c>
    </row>
    <row r="451" spans="1:10" x14ac:dyDescent="0.35">
      <c r="A451" s="299"/>
      <c r="B451" s="881"/>
      <c r="C451" s="124" t="s">
        <v>125</v>
      </c>
      <c r="D451" s="4"/>
      <c r="E451" s="5"/>
      <c r="F451" s="21"/>
      <c r="G451" s="5"/>
      <c r="H451" s="4"/>
      <c r="I451" s="372">
        <f t="shared" si="51"/>
        <v>0</v>
      </c>
      <c r="J451" s="359">
        <f t="shared" si="58"/>
        <v>0</v>
      </c>
    </row>
    <row r="452" spans="1:10" x14ac:dyDescent="0.35">
      <c r="A452" s="299"/>
      <c r="B452" s="881"/>
      <c r="C452" s="124" t="s">
        <v>125</v>
      </c>
      <c r="D452" s="4"/>
      <c r="E452" s="5"/>
      <c r="F452" s="21"/>
      <c r="G452" s="5"/>
      <c r="H452" s="4"/>
      <c r="I452" s="372">
        <f t="shared" si="51"/>
        <v>0</v>
      </c>
      <c r="J452" s="359">
        <f t="shared" si="58"/>
        <v>0</v>
      </c>
    </row>
    <row r="453" spans="1:10" x14ac:dyDescent="0.35">
      <c r="A453" s="299"/>
      <c r="B453" s="881"/>
      <c r="C453" s="124" t="s">
        <v>125</v>
      </c>
      <c r="D453" s="4"/>
      <c r="E453" s="5"/>
      <c r="F453" s="21"/>
      <c r="G453" s="5"/>
      <c r="H453" s="4"/>
      <c r="I453" s="372">
        <f t="shared" si="51"/>
        <v>0</v>
      </c>
      <c r="J453" s="359">
        <f t="shared" si="58"/>
        <v>0</v>
      </c>
    </row>
    <row r="454" spans="1:10" x14ac:dyDescent="0.35">
      <c r="A454" s="299"/>
      <c r="B454" s="881"/>
      <c r="C454" s="131"/>
      <c r="D454" s="4"/>
      <c r="E454" s="5"/>
      <c r="F454" s="21"/>
      <c r="G454" s="5"/>
      <c r="H454" s="4"/>
      <c r="I454" s="372">
        <f t="shared" si="51"/>
        <v>0</v>
      </c>
      <c r="J454" s="359">
        <f t="shared" ref="J454:J459" si="59">D454*E454*I454</f>
        <v>0</v>
      </c>
    </row>
    <row r="455" spans="1:10" x14ac:dyDescent="0.35">
      <c r="A455" s="299"/>
      <c r="B455" s="881"/>
      <c r="C455" s="131"/>
      <c r="D455" s="4"/>
      <c r="E455" s="5"/>
      <c r="F455" s="21"/>
      <c r="G455" s="5"/>
      <c r="H455" s="4"/>
      <c r="I455" s="372">
        <f t="shared" si="51"/>
        <v>0</v>
      </c>
      <c r="J455" s="359">
        <f t="shared" si="59"/>
        <v>0</v>
      </c>
    </row>
    <row r="456" spans="1:10" x14ac:dyDescent="0.35">
      <c r="A456" s="299"/>
      <c r="B456" s="881"/>
      <c r="C456" s="131"/>
      <c r="D456" s="4"/>
      <c r="E456" s="5"/>
      <c r="F456" s="21"/>
      <c r="G456" s="5"/>
      <c r="H456" s="4"/>
      <c r="I456" s="372">
        <f t="shared" ref="I456:I519" si="60">IF(H456=0,0,IF(G456=0,E456*F456/H456,(F456*G456*((1+G456)^H456))/(((1+G456)^H456)-1)))</f>
        <v>0</v>
      </c>
      <c r="J456" s="359">
        <f t="shared" si="59"/>
        <v>0</v>
      </c>
    </row>
    <row r="457" spans="1:10" x14ac:dyDescent="0.35">
      <c r="A457" s="299"/>
      <c r="B457" s="881"/>
      <c r="C457" s="131"/>
      <c r="D457" s="4"/>
      <c r="E457" s="5"/>
      <c r="F457" s="21"/>
      <c r="G457" s="5"/>
      <c r="H457" s="4"/>
      <c r="I457" s="372">
        <f t="shared" si="60"/>
        <v>0</v>
      </c>
      <c r="J457" s="359">
        <f t="shared" si="59"/>
        <v>0</v>
      </c>
    </row>
    <row r="458" spans="1:10" x14ac:dyDescent="0.35">
      <c r="A458" s="299"/>
      <c r="B458" s="881"/>
      <c r="C458" s="131"/>
      <c r="D458" s="4"/>
      <c r="E458" s="5"/>
      <c r="F458" s="21"/>
      <c r="G458" s="5"/>
      <c r="H458" s="4"/>
      <c r="I458" s="372">
        <f t="shared" si="60"/>
        <v>0</v>
      </c>
      <c r="J458" s="359">
        <f t="shared" si="59"/>
        <v>0</v>
      </c>
    </row>
    <row r="459" spans="1:10" x14ac:dyDescent="0.35">
      <c r="A459" s="299"/>
      <c r="B459" s="881"/>
      <c r="C459" s="131"/>
      <c r="D459" s="4"/>
      <c r="E459" s="5"/>
      <c r="F459" s="21"/>
      <c r="G459" s="5"/>
      <c r="H459" s="4"/>
      <c r="I459" s="372">
        <f t="shared" si="60"/>
        <v>0</v>
      </c>
      <c r="J459" s="359">
        <f t="shared" si="59"/>
        <v>0</v>
      </c>
    </row>
    <row r="460" spans="1:10" x14ac:dyDescent="0.35">
      <c r="A460" s="299"/>
      <c r="B460" s="881"/>
      <c r="C460" s="131"/>
      <c r="D460" s="4"/>
      <c r="E460" s="5"/>
      <c r="F460" s="21"/>
      <c r="G460" s="5"/>
      <c r="H460" s="4"/>
      <c r="I460" s="372">
        <f t="shared" si="60"/>
        <v>0</v>
      </c>
      <c r="J460" s="359">
        <f t="shared" ref="J460:J461" si="61">D460*E460*I460</f>
        <v>0</v>
      </c>
    </row>
    <row r="461" spans="1:10" x14ac:dyDescent="0.35">
      <c r="A461" s="299"/>
      <c r="B461" s="881"/>
      <c r="C461" s="131"/>
      <c r="D461" s="4"/>
      <c r="E461" s="5"/>
      <c r="F461" s="21"/>
      <c r="G461" s="5"/>
      <c r="H461" s="4"/>
      <c r="I461" s="372">
        <f t="shared" si="60"/>
        <v>0</v>
      </c>
      <c r="J461" s="359">
        <f t="shared" si="61"/>
        <v>0</v>
      </c>
    </row>
    <row r="462" spans="1:10" x14ac:dyDescent="0.35">
      <c r="A462" s="299"/>
      <c r="B462" s="881"/>
      <c r="C462" s="131"/>
      <c r="D462" s="4"/>
      <c r="E462" s="5"/>
      <c r="F462" s="21"/>
      <c r="G462" s="5"/>
      <c r="H462" s="4"/>
      <c r="I462" s="372">
        <f t="shared" si="60"/>
        <v>0</v>
      </c>
      <c r="J462" s="359">
        <f t="shared" ref="J462:J463" si="62">D462*E462*I462</f>
        <v>0</v>
      </c>
    </row>
    <row r="463" spans="1:10" x14ac:dyDescent="0.35">
      <c r="A463" s="299"/>
      <c r="B463" s="881"/>
      <c r="C463" s="131"/>
      <c r="D463" s="4"/>
      <c r="E463" s="5"/>
      <c r="F463" s="21"/>
      <c r="G463" s="5"/>
      <c r="H463" s="4"/>
      <c r="I463" s="372">
        <f t="shared" si="60"/>
        <v>0</v>
      </c>
      <c r="J463" s="359">
        <f t="shared" si="62"/>
        <v>0</v>
      </c>
    </row>
    <row r="464" spans="1:10" x14ac:dyDescent="0.35">
      <c r="A464" s="299"/>
      <c r="B464" s="881"/>
      <c r="C464" s="131"/>
      <c r="D464" s="4"/>
      <c r="E464" s="5"/>
      <c r="F464" s="21"/>
      <c r="G464" s="5"/>
      <c r="H464" s="4"/>
      <c r="I464" s="372">
        <f t="shared" si="60"/>
        <v>0</v>
      </c>
      <c r="J464" s="359">
        <f>D464*E464*I464</f>
        <v>0</v>
      </c>
    </row>
    <row r="465" spans="1:10" x14ac:dyDescent="0.35">
      <c r="A465" s="299"/>
      <c r="B465" s="881"/>
      <c r="C465" s="131"/>
      <c r="D465" s="4"/>
      <c r="E465" s="5"/>
      <c r="F465" s="21"/>
      <c r="G465" s="5"/>
      <c r="H465" s="4"/>
      <c r="I465" s="372">
        <f t="shared" si="60"/>
        <v>0</v>
      </c>
      <c r="J465" s="359">
        <f t="shared" ref="J465:J466" si="63">D465*E465*I465</f>
        <v>0</v>
      </c>
    </row>
    <row r="466" spans="1:10" x14ac:dyDescent="0.35">
      <c r="A466" s="299"/>
      <c r="B466" s="881"/>
      <c r="C466" s="131"/>
      <c r="D466" s="4"/>
      <c r="E466" s="5"/>
      <c r="F466" s="21"/>
      <c r="G466" s="5"/>
      <c r="H466" s="4"/>
      <c r="I466" s="372">
        <f t="shared" si="60"/>
        <v>0</v>
      </c>
      <c r="J466" s="359">
        <f t="shared" si="63"/>
        <v>0</v>
      </c>
    </row>
    <row r="467" spans="1:10" x14ac:dyDescent="0.35">
      <c r="A467" s="299"/>
      <c r="B467" s="881"/>
      <c r="C467" s="360" t="str">
        <f>Language!A28</f>
        <v>Planta de compostaje</v>
      </c>
      <c r="D467" s="370"/>
      <c r="E467" s="355"/>
      <c r="F467" s="371"/>
      <c r="G467" s="370"/>
      <c r="H467" s="370"/>
      <c r="I467" s="372">
        <f t="shared" si="60"/>
        <v>0</v>
      </c>
      <c r="J467" s="359"/>
    </row>
    <row r="468" spans="1:10" x14ac:dyDescent="0.35">
      <c r="A468" s="299"/>
      <c r="B468" s="881"/>
      <c r="C468" s="130" t="s">
        <v>438</v>
      </c>
      <c r="D468" s="4">
        <v>0</v>
      </c>
      <c r="E468" s="5">
        <v>1</v>
      </c>
      <c r="F468" s="21">
        <v>0</v>
      </c>
      <c r="G468" s="5">
        <v>0</v>
      </c>
      <c r="H468" s="4">
        <v>0</v>
      </c>
      <c r="I468" s="372">
        <f t="shared" si="60"/>
        <v>0</v>
      </c>
      <c r="J468" s="359">
        <f>D468*E468*I468</f>
        <v>0</v>
      </c>
    </row>
    <row r="469" spans="1:10" x14ac:dyDescent="0.35">
      <c r="A469" s="299"/>
      <c r="B469" s="881"/>
      <c r="C469" s="130" t="s">
        <v>439</v>
      </c>
      <c r="D469" s="4"/>
      <c r="E469" s="5"/>
      <c r="F469" s="21"/>
      <c r="G469" s="5"/>
      <c r="H469" s="4"/>
      <c r="I469" s="372">
        <f t="shared" si="60"/>
        <v>0</v>
      </c>
      <c r="J469" s="359">
        <f t="shared" ref="J469:J484" si="64">D469*E469*I469</f>
        <v>0</v>
      </c>
    </row>
    <row r="470" spans="1:10" x14ac:dyDescent="0.35">
      <c r="A470" s="299"/>
      <c r="B470" s="881"/>
      <c r="C470" s="130" t="s">
        <v>440</v>
      </c>
      <c r="D470" s="4"/>
      <c r="E470" s="5"/>
      <c r="F470" s="21"/>
      <c r="G470" s="5"/>
      <c r="H470" s="4"/>
      <c r="I470" s="372">
        <f t="shared" si="60"/>
        <v>0</v>
      </c>
      <c r="J470" s="359">
        <f t="shared" ref="J470:J474" si="65">D470*E470*I470</f>
        <v>0</v>
      </c>
    </row>
    <row r="471" spans="1:10" x14ac:dyDescent="0.35">
      <c r="A471" s="299"/>
      <c r="B471" s="881"/>
      <c r="C471" s="130" t="s">
        <v>441</v>
      </c>
      <c r="D471" s="4"/>
      <c r="E471" s="5"/>
      <c r="F471" s="21"/>
      <c r="G471" s="5"/>
      <c r="H471" s="4"/>
      <c r="I471" s="372">
        <f t="shared" si="60"/>
        <v>0</v>
      </c>
      <c r="J471" s="359">
        <f t="shared" si="65"/>
        <v>0</v>
      </c>
    </row>
    <row r="472" spans="1:10" x14ac:dyDescent="0.35">
      <c r="A472" s="299"/>
      <c r="B472" s="881"/>
      <c r="C472" s="130" t="s">
        <v>451</v>
      </c>
      <c r="D472" s="4"/>
      <c r="E472" s="5"/>
      <c r="F472" s="21"/>
      <c r="G472" s="5"/>
      <c r="H472" s="4"/>
      <c r="I472" s="372">
        <f t="shared" si="60"/>
        <v>0</v>
      </c>
      <c r="J472" s="359">
        <f t="shared" si="65"/>
        <v>0</v>
      </c>
    </row>
    <row r="473" spans="1:10" x14ac:dyDescent="0.35">
      <c r="A473" s="299"/>
      <c r="B473" s="881"/>
      <c r="C473" s="130" t="s">
        <v>442</v>
      </c>
      <c r="D473" s="4"/>
      <c r="E473" s="5"/>
      <c r="F473" s="21"/>
      <c r="G473" s="5"/>
      <c r="H473" s="4"/>
      <c r="I473" s="372">
        <f t="shared" si="60"/>
        <v>0</v>
      </c>
      <c r="J473" s="359">
        <f t="shared" si="65"/>
        <v>0</v>
      </c>
    </row>
    <row r="474" spans="1:10" x14ac:dyDescent="0.35">
      <c r="A474" s="299"/>
      <c r="B474" s="881"/>
      <c r="C474" s="130" t="s">
        <v>443</v>
      </c>
      <c r="D474" s="4"/>
      <c r="E474" s="5"/>
      <c r="F474" s="21"/>
      <c r="G474" s="5"/>
      <c r="H474" s="4"/>
      <c r="I474" s="372">
        <f t="shared" si="60"/>
        <v>0</v>
      </c>
      <c r="J474" s="359">
        <f t="shared" si="65"/>
        <v>0</v>
      </c>
    </row>
    <row r="475" spans="1:10" x14ac:dyDescent="0.35">
      <c r="A475" s="299"/>
      <c r="B475" s="881"/>
      <c r="C475" s="130" t="s">
        <v>445</v>
      </c>
      <c r="D475" s="4"/>
      <c r="E475" s="5"/>
      <c r="F475" s="21"/>
      <c r="G475" s="5"/>
      <c r="H475" s="4"/>
      <c r="I475" s="372">
        <f t="shared" si="60"/>
        <v>0</v>
      </c>
      <c r="J475" s="359">
        <f t="shared" ref="J475:J481" si="66">D475*E475*I475</f>
        <v>0</v>
      </c>
    </row>
    <row r="476" spans="1:10" x14ac:dyDescent="0.35">
      <c r="A476" s="299"/>
      <c r="B476" s="881"/>
      <c r="C476" s="130" t="s">
        <v>446</v>
      </c>
      <c r="D476" s="4"/>
      <c r="E476" s="5"/>
      <c r="F476" s="21"/>
      <c r="G476" s="5"/>
      <c r="H476" s="4"/>
      <c r="I476" s="372">
        <f t="shared" si="60"/>
        <v>0</v>
      </c>
      <c r="J476" s="359">
        <f t="shared" ref="J476:J477" si="67">D476*E476*I476</f>
        <v>0</v>
      </c>
    </row>
    <row r="477" spans="1:10" x14ac:dyDescent="0.35">
      <c r="A477" s="299"/>
      <c r="B477" s="881"/>
      <c r="C477" s="130" t="s">
        <v>447</v>
      </c>
      <c r="D477" s="4"/>
      <c r="E477" s="5"/>
      <c r="F477" s="21"/>
      <c r="G477" s="5"/>
      <c r="H477" s="4"/>
      <c r="I477" s="372">
        <f t="shared" si="60"/>
        <v>0</v>
      </c>
      <c r="J477" s="359">
        <f t="shared" si="67"/>
        <v>0</v>
      </c>
    </row>
    <row r="478" spans="1:10" x14ac:dyDescent="0.35">
      <c r="A478" s="299"/>
      <c r="B478" s="881"/>
      <c r="C478" s="130" t="s">
        <v>448</v>
      </c>
      <c r="D478" s="4"/>
      <c r="E478" s="5"/>
      <c r="F478" s="21"/>
      <c r="G478" s="5"/>
      <c r="H478" s="4"/>
      <c r="I478" s="372">
        <f t="shared" si="60"/>
        <v>0</v>
      </c>
      <c r="J478" s="359">
        <f t="shared" si="66"/>
        <v>0</v>
      </c>
    </row>
    <row r="479" spans="1:10" x14ac:dyDescent="0.35">
      <c r="A479" s="299"/>
      <c r="B479" s="881"/>
      <c r="C479" s="130" t="s">
        <v>452</v>
      </c>
      <c r="D479" s="4"/>
      <c r="E479" s="5"/>
      <c r="F479" s="21"/>
      <c r="G479" s="5"/>
      <c r="H479" s="4"/>
      <c r="I479" s="372">
        <f t="shared" si="60"/>
        <v>0</v>
      </c>
      <c r="J479" s="359">
        <f t="shared" si="66"/>
        <v>0</v>
      </c>
    </row>
    <row r="480" spans="1:10" x14ac:dyDescent="0.35">
      <c r="A480" s="299"/>
      <c r="B480" s="881"/>
      <c r="C480" s="131" t="s">
        <v>463</v>
      </c>
      <c r="D480" s="4"/>
      <c r="E480" s="5"/>
      <c r="F480" s="21"/>
      <c r="G480" s="5"/>
      <c r="H480" s="4"/>
      <c r="I480" s="372">
        <f t="shared" si="60"/>
        <v>0</v>
      </c>
      <c r="J480" s="359">
        <f t="shared" si="66"/>
        <v>0</v>
      </c>
    </row>
    <row r="481" spans="1:10" x14ac:dyDescent="0.35">
      <c r="A481" s="299"/>
      <c r="B481" s="881"/>
      <c r="C481" s="131" t="s">
        <v>464</v>
      </c>
      <c r="D481" s="4"/>
      <c r="E481" s="5"/>
      <c r="F481" s="21"/>
      <c r="G481" s="5"/>
      <c r="H481" s="4"/>
      <c r="I481" s="372">
        <f t="shared" si="60"/>
        <v>0</v>
      </c>
      <c r="J481" s="359">
        <f t="shared" si="66"/>
        <v>0</v>
      </c>
    </row>
    <row r="482" spans="1:10" x14ac:dyDescent="0.35">
      <c r="A482" s="299"/>
      <c r="B482" s="881"/>
      <c r="C482" s="131" t="s">
        <v>722</v>
      </c>
      <c r="D482" s="4"/>
      <c r="E482" s="5"/>
      <c r="F482" s="21"/>
      <c r="G482" s="5"/>
      <c r="H482" s="4"/>
      <c r="I482" s="372">
        <f t="shared" si="60"/>
        <v>0</v>
      </c>
      <c r="J482" s="359">
        <f t="shared" si="64"/>
        <v>0</v>
      </c>
    </row>
    <row r="483" spans="1:10" x14ac:dyDescent="0.35">
      <c r="A483" s="299"/>
      <c r="B483" s="881"/>
      <c r="C483" s="124" t="s">
        <v>125</v>
      </c>
      <c r="D483" s="4"/>
      <c r="E483" s="5"/>
      <c r="F483" s="21"/>
      <c r="G483" s="5"/>
      <c r="H483" s="4"/>
      <c r="I483" s="372">
        <f t="shared" si="60"/>
        <v>0</v>
      </c>
      <c r="J483" s="359">
        <f t="shared" si="64"/>
        <v>0</v>
      </c>
    </row>
    <row r="484" spans="1:10" x14ac:dyDescent="0.35">
      <c r="A484" s="299"/>
      <c r="B484" s="881"/>
      <c r="C484" s="124" t="s">
        <v>125</v>
      </c>
      <c r="D484" s="4"/>
      <c r="E484" s="5"/>
      <c r="F484" s="21"/>
      <c r="G484" s="5"/>
      <c r="H484" s="4"/>
      <c r="I484" s="372">
        <f t="shared" si="60"/>
        <v>0</v>
      </c>
      <c r="J484" s="359">
        <f t="shared" si="64"/>
        <v>0</v>
      </c>
    </row>
    <row r="485" spans="1:10" x14ac:dyDescent="0.35">
      <c r="A485" s="299"/>
      <c r="B485" s="881"/>
      <c r="C485" s="124" t="s">
        <v>125</v>
      </c>
      <c r="D485" s="4"/>
      <c r="E485" s="5"/>
      <c r="F485" s="21"/>
      <c r="G485" s="5"/>
      <c r="H485" s="4"/>
      <c r="I485" s="372">
        <f t="shared" si="60"/>
        <v>0</v>
      </c>
      <c r="J485" s="359">
        <f t="shared" ref="J485:J488" si="68">D485*E485*I485</f>
        <v>0</v>
      </c>
    </row>
    <row r="486" spans="1:10" x14ac:dyDescent="0.35">
      <c r="A486" s="299"/>
      <c r="B486" s="881"/>
      <c r="C486" s="131"/>
      <c r="D486" s="4"/>
      <c r="E486" s="5"/>
      <c r="F486" s="21"/>
      <c r="G486" s="5"/>
      <c r="H486" s="4"/>
      <c r="I486" s="372">
        <f t="shared" si="60"/>
        <v>0</v>
      </c>
      <c r="J486" s="359">
        <f t="shared" si="68"/>
        <v>0</v>
      </c>
    </row>
    <row r="487" spans="1:10" x14ac:dyDescent="0.35">
      <c r="A487" s="299"/>
      <c r="B487" s="881"/>
      <c r="C487" s="131"/>
      <c r="D487" s="4"/>
      <c r="E487" s="5"/>
      <c r="F487" s="21"/>
      <c r="G487" s="5"/>
      <c r="H487" s="4"/>
      <c r="I487" s="372">
        <f t="shared" si="60"/>
        <v>0</v>
      </c>
      <c r="J487" s="359">
        <f t="shared" si="68"/>
        <v>0</v>
      </c>
    </row>
    <row r="488" spans="1:10" x14ac:dyDescent="0.35">
      <c r="A488" s="299"/>
      <c r="B488" s="881"/>
      <c r="C488" s="131"/>
      <c r="D488" s="4"/>
      <c r="E488" s="5"/>
      <c r="F488" s="21"/>
      <c r="G488" s="5"/>
      <c r="H488" s="4"/>
      <c r="I488" s="372">
        <f t="shared" si="60"/>
        <v>0</v>
      </c>
      <c r="J488" s="359">
        <f t="shared" si="68"/>
        <v>0</v>
      </c>
    </row>
    <row r="489" spans="1:10" x14ac:dyDescent="0.35">
      <c r="A489" s="299"/>
      <c r="B489" s="881"/>
      <c r="C489" s="131"/>
      <c r="D489" s="4"/>
      <c r="E489" s="5"/>
      <c r="F489" s="21"/>
      <c r="G489" s="5"/>
      <c r="H489" s="4"/>
      <c r="I489" s="372">
        <f t="shared" si="60"/>
        <v>0</v>
      </c>
      <c r="J489" s="359">
        <f t="shared" ref="J489:J492" si="69">D489*E489*I489</f>
        <v>0</v>
      </c>
    </row>
    <row r="490" spans="1:10" x14ac:dyDescent="0.35">
      <c r="A490" s="299"/>
      <c r="B490" s="881"/>
      <c r="C490" s="131"/>
      <c r="D490" s="4"/>
      <c r="E490" s="5"/>
      <c r="F490" s="21"/>
      <c r="G490" s="5"/>
      <c r="H490" s="4"/>
      <c r="I490" s="372">
        <f t="shared" si="60"/>
        <v>0</v>
      </c>
      <c r="J490" s="359">
        <f t="shared" si="69"/>
        <v>0</v>
      </c>
    </row>
    <row r="491" spans="1:10" x14ac:dyDescent="0.35">
      <c r="A491" s="299"/>
      <c r="B491" s="881"/>
      <c r="C491" s="131"/>
      <c r="D491" s="4"/>
      <c r="E491" s="5"/>
      <c r="F491" s="21"/>
      <c r="G491" s="5"/>
      <c r="H491" s="4"/>
      <c r="I491" s="372">
        <f t="shared" si="60"/>
        <v>0</v>
      </c>
      <c r="J491" s="359">
        <f t="shared" si="69"/>
        <v>0</v>
      </c>
    </row>
    <row r="492" spans="1:10" x14ac:dyDescent="0.35">
      <c r="A492" s="299"/>
      <c r="B492" s="881"/>
      <c r="C492" s="131"/>
      <c r="D492" s="4"/>
      <c r="E492" s="5"/>
      <c r="F492" s="21"/>
      <c r="G492" s="5"/>
      <c r="H492" s="4"/>
      <c r="I492" s="372">
        <f t="shared" si="60"/>
        <v>0</v>
      </c>
      <c r="J492" s="359">
        <f t="shared" si="69"/>
        <v>0</v>
      </c>
    </row>
    <row r="493" spans="1:10" x14ac:dyDescent="0.35">
      <c r="A493" s="299"/>
      <c r="B493" s="881"/>
      <c r="C493" s="130"/>
      <c r="D493" s="4"/>
      <c r="E493" s="5"/>
      <c r="F493" s="21"/>
      <c r="G493" s="5"/>
      <c r="H493" s="4"/>
      <c r="I493" s="372">
        <f t="shared" si="60"/>
        <v>0</v>
      </c>
      <c r="J493" s="359">
        <f>D493*E493*I493</f>
        <v>0</v>
      </c>
    </row>
    <row r="494" spans="1:10" x14ac:dyDescent="0.35">
      <c r="A494" s="299"/>
      <c r="B494" s="881"/>
      <c r="C494" s="130"/>
      <c r="D494" s="4"/>
      <c r="E494" s="5"/>
      <c r="F494" s="21"/>
      <c r="G494" s="5"/>
      <c r="H494" s="4"/>
      <c r="I494" s="372">
        <f t="shared" si="60"/>
        <v>0</v>
      </c>
      <c r="J494" s="359">
        <f>D494*E494*I494</f>
        <v>0</v>
      </c>
    </row>
    <row r="495" spans="1:10" x14ac:dyDescent="0.35">
      <c r="A495" s="299"/>
      <c r="B495" s="881"/>
      <c r="C495" s="131"/>
      <c r="D495" s="4"/>
      <c r="E495" s="5"/>
      <c r="F495" s="21"/>
      <c r="G495" s="5"/>
      <c r="H495" s="4"/>
      <c r="I495" s="372">
        <f t="shared" si="60"/>
        <v>0</v>
      </c>
      <c r="J495" s="359">
        <f t="shared" ref="J495:J496" si="70">D495*E495*I495</f>
        <v>0</v>
      </c>
    </row>
    <row r="496" spans="1:10" x14ac:dyDescent="0.35">
      <c r="A496" s="299"/>
      <c r="B496" s="881"/>
      <c r="C496" s="131"/>
      <c r="D496" s="4"/>
      <c r="E496" s="5"/>
      <c r="F496" s="21"/>
      <c r="G496" s="5"/>
      <c r="H496" s="4"/>
      <c r="I496" s="372">
        <f t="shared" si="60"/>
        <v>0</v>
      </c>
      <c r="J496" s="359">
        <f t="shared" si="70"/>
        <v>0</v>
      </c>
    </row>
    <row r="497" spans="1:10" x14ac:dyDescent="0.35">
      <c r="A497" s="299"/>
      <c r="B497" s="881"/>
      <c r="C497" s="131"/>
      <c r="D497" s="4"/>
      <c r="E497" s="5"/>
      <c r="F497" s="21"/>
      <c r="G497" s="5"/>
      <c r="H497" s="4"/>
      <c r="I497" s="372">
        <f t="shared" si="60"/>
        <v>0</v>
      </c>
      <c r="J497" s="359">
        <f>D497*E497*I497</f>
        <v>0</v>
      </c>
    </row>
    <row r="498" spans="1:10" x14ac:dyDescent="0.35">
      <c r="A498" s="299"/>
      <c r="B498" s="881"/>
      <c r="C498" s="360" t="str">
        <f>Language!A29</f>
        <v>Estación de transferencia y transporte</v>
      </c>
      <c r="D498" s="370"/>
      <c r="E498" s="355"/>
      <c r="F498" s="371"/>
      <c r="G498" s="370"/>
      <c r="H498" s="370"/>
      <c r="I498" s="377"/>
      <c r="J498" s="359"/>
    </row>
    <row r="499" spans="1:10" x14ac:dyDescent="0.35">
      <c r="A499" s="299"/>
      <c r="B499" s="881"/>
      <c r="C499" s="130" t="s">
        <v>438</v>
      </c>
      <c r="D499" s="4">
        <v>0</v>
      </c>
      <c r="E499" s="5">
        <v>1</v>
      </c>
      <c r="F499" s="21">
        <v>0</v>
      </c>
      <c r="G499" s="5">
        <v>0</v>
      </c>
      <c r="H499" s="4">
        <v>0</v>
      </c>
      <c r="I499" s="372">
        <f t="shared" si="60"/>
        <v>0</v>
      </c>
      <c r="J499" s="359">
        <f>D499*E499*I499</f>
        <v>0</v>
      </c>
    </row>
    <row r="500" spans="1:10" x14ac:dyDescent="0.35">
      <c r="A500" s="299"/>
      <c r="B500" s="881"/>
      <c r="C500" s="130" t="s">
        <v>440</v>
      </c>
      <c r="D500" s="4">
        <v>0</v>
      </c>
      <c r="E500" s="5">
        <v>1</v>
      </c>
      <c r="F500" s="21">
        <v>0</v>
      </c>
      <c r="G500" s="5">
        <v>0</v>
      </c>
      <c r="H500" s="4">
        <v>0</v>
      </c>
      <c r="I500" s="372">
        <f t="shared" si="60"/>
        <v>0</v>
      </c>
      <c r="J500" s="359">
        <f>D500*E500*I500</f>
        <v>0</v>
      </c>
    </row>
    <row r="501" spans="1:10" x14ac:dyDescent="0.35">
      <c r="A501" s="299"/>
      <c r="B501" s="881"/>
      <c r="C501" s="130" t="s">
        <v>441</v>
      </c>
      <c r="D501" s="4">
        <v>0</v>
      </c>
      <c r="E501" s="5">
        <v>1</v>
      </c>
      <c r="F501" s="21">
        <v>0</v>
      </c>
      <c r="G501" s="5">
        <v>0</v>
      </c>
      <c r="H501" s="4">
        <v>0</v>
      </c>
      <c r="I501" s="372">
        <f t="shared" si="60"/>
        <v>0</v>
      </c>
      <c r="J501" s="359">
        <f>D501*E501*I501</f>
        <v>0</v>
      </c>
    </row>
    <row r="502" spans="1:10" x14ac:dyDescent="0.35">
      <c r="A502" s="299"/>
      <c r="B502" s="881"/>
      <c r="C502" s="130" t="s">
        <v>451</v>
      </c>
      <c r="D502" s="4"/>
      <c r="E502" s="5"/>
      <c r="F502" s="21"/>
      <c r="G502" s="5"/>
      <c r="H502" s="4"/>
      <c r="I502" s="372">
        <f t="shared" si="60"/>
        <v>0</v>
      </c>
      <c r="J502" s="359">
        <f t="shared" ref="J502:J504" si="71">D502*E502*I502</f>
        <v>0</v>
      </c>
    </row>
    <row r="503" spans="1:10" x14ac:dyDescent="0.35">
      <c r="A503" s="299"/>
      <c r="B503" s="881"/>
      <c r="C503" s="130" t="s">
        <v>442</v>
      </c>
      <c r="D503" s="4"/>
      <c r="E503" s="5"/>
      <c r="F503" s="21"/>
      <c r="G503" s="5"/>
      <c r="H503" s="4"/>
      <c r="I503" s="372">
        <f t="shared" si="60"/>
        <v>0</v>
      </c>
      <c r="J503" s="359">
        <f t="shared" si="71"/>
        <v>0</v>
      </c>
    </row>
    <row r="504" spans="1:10" x14ac:dyDescent="0.35">
      <c r="A504" s="299"/>
      <c r="B504" s="881"/>
      <c r="C504" s="130" t="s">
        <v>443</v>
      </c>
      <c r="D504" s="4"/>
      <c r="E504" s="5"/>
      <c r="F504" s="21"/>
      <c r="G504" s="5"/>
      <c r="H504" s="4"/>
      <c r="I504" s="372">
        <f t="shared" si="60"/>
        <v>0</v>
      </c>
      <c r="J504" s="359">
        <f t="shared" si="71"/>
        <v>0</v>
      </c>
    </row>
    <row r="505" spans="1:10" x14ac:dyDescent="0.35">
      <c r="A505" s="299"/>
      <c r="B505" s="881"/>
      <c r="C505" s="130" t="s">
        <v>445</v>
      </c>
      <c r="D505" s="4"/>
      <c r="E505" s="5"/>
      <c r="F505" s="21"/>
      <c r="G505" s="5"/>
      <c r="H505" s="4"/>
      <c r="I505" s="372">
        <f t="shared" si="60"/>
        <v>0</v>
      </c>
      <c r="J505" s="359">
        <f t="shared" ref="J505:J507" si="72">D505*E505*I505</f>
        <v>0</v>
      </c>
    </row>
    <row r="506" spans="1:10" x14ac:dyDescent="0.35">
      <c r="A506" s="299"/>
      <c r="B506" s="881"/>
      <c r="C506" s="130" t="s">
        <v>446</v>
      </c>
      <c r="D506" s="4"/>
      <c r="E506" s="5"/>
      <c r="F506" s="21"/>
      <c r="G506" s="5"/>
      <c r="H506" s="4"/>
      <c r="I506" s="372">
        <f t="shared" si="60"/>
        <v>0</v>
      </c>
      <c r="J506" s="359">
        <f t="shared" si="72"/>
        <v>0</v>
      </c>
    </row>
    <row r="507" spans="1:10" x14ac:dyDescent="0.35">
      <c r="A507" s="299"/>
      <c r="B507" s="881"/>
      <c r="C507" s="130" t="s">
        <v>447</v>
      </c>
      <c r="D507" s="4"/>
      <c r="E507" s="5"/>
      <c r="F507" s="21"/>
      <c r="G507" s="5"/>
      <c r="H507" s="4"/>
      <c r="I507" s="372">
        <f t="shared" si="60"/>
        <v>0</v>
      </c>
      <c r="J507" s="359">
        <f t="shared" si="72"/>
        <v>0</v>
      </c>
    </row>
    <row r="508" spans="1:10" x14ac:dyDescent="0.35">
      <c r="A508" s="299"/>
      <c r="B508" s="881"/>
      <c r="C508" s="130" t="s">
        <v>448</v>
      </c>
      <c r="D508" s="4"/>
      <c r="E508" s="5"/>
      <c r="F508" s="21"/>
      <c r="G508" s="5"/>
      <c r="H508" s="4"/>
      <c r="I508" s="372">
        <f t="shared" si="60"/>
        <v>0</v>
      </c>
      <c r="J508" s="359">
        <f>D508*E508*I508</f>
        <v>0</v>
      </c>
    </row>
    <row r="509" spans="1:10" x14ac:dyDescent="0.35">
      <c r="A509" s="299"/>
      <c r="B509" s="881"/>
      <c r="C509" s="131" t="s">
        <v>463</v>
      </c>
      <c r="D509" s="4"/>
      <c r="E509" s="5"/>
      <c r="F509" s="21"/>
      <c r="G509" s="5"/>
      <c r="H509" s="4"/>
      <c r="I509" s="372">
        <f t="shared" si="60"/>
        <v>0</v>
      </c>
      <c r="J509" s="359">
        <f>D509*E509*I509</f>
        <v>0</v>
      </c>
    </row>
    <row r="510" spans="1:10" x14ac:dyDescent="0.35">
      <c r="A510" s="299"/>
      <c r="B510" s="881"/>
      <c r="C510" s="131" t="s">
        <v>464</v>
      </c>
      <c r="D510" s="4"/>
      <c r="E510" s="5"/>
      <c r="F510" s="21"/>
      <c r="G510" s="5"/>
      <c r="H510" s="4"/>
      <c r="I510" s="372">
        <f t="shared" si="60"/>
        <v>0</v>
      </c>
      <c r="J510" s="359">
        <f t="shared" ref="J510" si="73">D510*E510*(F510+G510)+D510*H510</f>
        <v>0</v>
      </c>
    </row>
    <row r="511" spans="1:10" x14ac:dyDescent="0.35">
      <c r="A511" s="299"/>
      <c r="B511" s="881"/>
      <c r="C511" s="124" t="s">
        <v>125</v>
      </c>
      <c r="D511" s="4"/>
      <c r="E511" s="5"/>
      <c r="F511" s="21"/>
      <c r="G511" s="5"/>
      <c r="H511" s="4"/>
      <c r="I511" s="372">
        <f t="shared" si="60"/>
        <v>0</v>
      </c>
      <c r="J511" s="359">
        <f t="shared" ref="J511:J512" si="74">D511*E511*(F511+G511)+D511*H511</f>
        <v>0</v>
      </c>
    </row>
    <row r="512" spans="1:10" x14ac:dyDescent="0.35">
      <c r="A512" s="299"/>
      <c r="B512" s="881"/>
      <c r="C512" s="124" t="s">
        <v>125</v>
      </c>
      <c r="D512" s="4"/>
      <c r="E512" s="5"/>
      <c r="F512" s="21"/>
      <c r="G512" s="5"/>
      <c r="H512" s="4"/>
      <c r="I512" s="372">
        <f t="shared" si="60"/>
        <v>0</v>
      </c>
      <c r="J512" s="359">
        <f t="shared" si="74"/>
        <v>0</v>
      </c>
    </row>
    <row r="513" spans="1:10" x14ac:dyDescent="0.35">
      <c r="A513" s="299"/>
      <c r="B513" s="881"/>
      <c r="C513" s="124" t="s">
        <v>125</v>
      </c>
      <c r="D513" s="4"/>
      <c r="E513" s="5"/>
      <c r="F513" s="21"/>
      <c r="G513" s="5"/>
      <c r="H513" s="4"/>
      <c r="I513" s="372">
        <f t="shared" si="60"/>
        <v>0</v>
      </c>
      <c r="J513" s="359">
        <f>D513*E513*(F513+G513)+D513*H513</f>
        <v>0</v>
      </c>
    </row>
    <row r="514" spans="1:10" x14ac:dyDescent="0.35">
      <c r="A514" s="299"/>
      <c r="B514" s="881"/>
      <c r="C514" s="360" t="str">
        <f>Language!A30</f>
        <v>Disposición final</v>
      </c>
      <c r="D514" s="370"/>
      <c r="E514" s="355"/>
      <c r="F514" s="371"/>
      <c r="G514" s="370"/>
      <c r="H514" s="370"/>
      <c r="I514" s="377"/>
      <c r="J514" s="359"/>
    </row>
    <row r="515" spans="1:10" x14ac:dyDescent="0.35">
      <c r="A515" s="299"/>
      <c r="B515" s="881"/>
      <c r="C515" s="130" t="s">
        <v>438</v>
      </c>
      <c r="D515" s="4">
        <v>0</v>
      </c>
      <c r="E515" s="5">
        <v>1</v>
      </c>
      <c r="F515" s="21">
        <v>0</v>
      </c>
      <c r="G515" s="5">
        <v>0</v>
      </c>
      <c r="H515" s="4">
        <v>0</v>
      </c>
      <c r="I515" s="372">
        <f t="shared" si="60"/>
        <v>0</v>
      </c>
      <c r="J515" s="359">
        <f t="shared" ref="J515:J523" si="75">D515*E515*I515</f>
        <v>0</v>
      </c>
    </row>
    <row r="516" spans="1:10" x14ac:dyDescent="0.35">
      <c r="A516" s="299"/>
      <c r="B516" s="881"/>
      <c r="C516" s="130" t="s">
        <v>439</v>
      </c>
      <c r="D516" s="4">
        <v>0</v>
      </c>
      <c r="E516" s="5">
        <v>1</v>
      </c>
      <c r="F516" s="21">
        <v>0</v>
      </c>
      <c r="G516" s="5">
        <v>0</v>
      </c>
      <c r="H516" s="4">
        <v>0</v>
      </c>
      <c r="I516" s="372">
        <f t="shared" si="60"/>
        <v>0</v>
      </c>
      <c r="J516" s="359">
        <f t="shared" si="75"/>
        <v>0</v>
      </c>
    </row>
    <row r="517" spans="1:10" x14ac:dyDescent="0.35">
      <c r="A517" s="299"/>
      <c r="B517" s="881"/>
      <c r="C517" s="130" t="s">
        <v>440</v>
      </c>
      <c r="D517" s="4">
        <v>0</v>
      </c>
      <c r="E517" s="5">
        <v>1</v>
      </c>
      <c r="F517" s="21">
        <v>0</v>
      </c>
      <c r="G517" s="5">
        <v>0</v>
      </c>
      <c r="H517" s="4">
        <v>0</v>
      </c>
      <c r="I517" s="372">
        <f t="shared" si="60"/>
        <v>0</v>
      </c>
      <c r="J517" s="359">
        <f t="shared" si="75"/>
        <v>0</v>
      </c>
    </row>
    <row r="518" spans="1:10" x14ac:dyDescent="0.35">
      <c r="A518" s="299"/>
      <c r="B518" s="881"/>
      <c r="C518" s="130" t="s">
        <v>441</v>
      </c>
      <c r="D518" s="4">
        <v>0</v>
      </c>
      <c r="E518" s="5">
        <v>1</v>
      </c>
      <c r="F518" s="21">
        <v>0</v>
      </c>
      <c r="G518" s="5">
        <v>0</v>
      </c>
      <c r="H518" s="4">
        <v>0</v>
      </c>
      <c r="I518" s="372">
        <f t="shared" si="60"/>
        <v>0</v>
      </c>
      <c r="J518" s="359">
        <f t="shared" si="75"/>
        <v>0</v>
      </c>
    </row>
    <row r="519" spans="1:10" x14ac:dyDescent="0.35">
      <c r="A519" s="299"/>
      <c r="B519" s="881"/>
      <c r="C519" s="130" t="s">
        <v>442</v>
      </c>
      <c r="D519" s="4">
        <v>0</v>
      </c>
      <c r="E519" s="5">
        <v>1</v>
      </c>
      <c r="F519" s="21">
        <v>0</v>
      </c>
      <c r="G519" s="5">
        <v>0</v>
      </c>
      <c r="H519" s="4">
        <v>0</v>
      </c>
      <c r="I519" s="372">
        <f t="shared" si="60"/>
        <v>0</v>
      </c>
      <c r="J519" s="359">
        <f t="shared" si="75"/>
        <v>0</v>
      </c>
    </row>
    <row r="520" spans="1:10" x14ac:dyDescent="0.35">
      <c r="A520" s="299"/>
      <c r="B520" s="881"/>
      <c r="C520" s="130" t="s">
        <v>443</v>
      </c>
      <c r="D520" s="4">
        <v>0</v>
      </c>
      <c r="E520" s="5">
        <v>1</v>
      </c>
      <c r="F520" s="21">
        <v>0</v>
      </c>
      <c r="G520" s="5">
        <v>0</v>
      </c>
      <c r="H520" s="4">
        <v>0</v>
      </c>
      <c r="I520" s="372">
        <f t="shared" ref="I520:I554" si="76">IF(H520=0,0,IF(G520=0,E520*F520/H520,(F520*G520*((1+G520)^H520))/(((1+G520)^H520)-1)))</f>
        <v>0</v>
      </c>
      <c r="J520" s="359">
        <f t="shared" si="75"/>
        <v>0</v>
      </c>
    </row>
    <row r="521" spans="1:10" x14ac:dyDescent="0.35">
      <c r="A521" s="299"/>
      <c r="B521" s="881"/>
      <c r="C521" s="130" t="s">
        <v>444</v>
      </c>
      <c r="D521" s="4">
        <v>0</v>
      </c>
      <c r="E521" s="5">
        <v>1</v>
      </c>
      <c r="F521" s="21">
        <v>0</v>
      </c>
      <c r="G521" s="5">
        <v>0</v>
      </c>
      <c r="H521" s="4">
        <v>0</v>
      </c>
      <c r="I521" s="372">
        <f t="shared" si="76"/>
        <v>0</v>
      </c>
      <c r="J521" s="359">
        <f t="shared" si="75"/>
        <v>0</v>
      </c>
    </row>
    <row r="522" spans="1:10" x14ac:dyDescent="0.35">
      <c r="A522" s="299"/>
      <c r="B522" s="881"/>
      <c r="C522" s="130" t="s">
        <v>445</v>
      </c>
      <c r="D522" s="4">
        <v>0</v>
      </c>
      <c r="E522" s="5">
        <v>1</v>
      </c>
      <c r="F522" s="21">
        <v>0</v>
      </c>
      <c r="G522" s="5">
        <v>0</v>
      </c>
      <c r="H522" s="4">
        <v>0</v>
      </c>
      <c r="I522" s="372">
        <f t="shared" si="76"/>
        <v>0</v>
      </c>
      <c r="J522" s="359">
        <f t="shared" si="75"/>
        <v>0</v>
      </c>
    </row>
    <row r="523" spans="1:10" x14ac:dyDescent="0.35">
      <c r="A523" s="299"/>
      <c r="B523" s="881"/>
      <c r="C523" s="130" t="s">
        <v>446</v>
      </c>
      <c r="D523" s="4">
        <v>0</v>
      </c>
      <c r="E523" s="5">
        <v>1</v>
      </c>
      <c r="F523" s="21">
        <v>0</v>
      </c>
      <c r="G523" s="5">
        <v>0</v>
      </c>
      <c r="H523" s="4">
        <v>0</v>
      </c>
      <c r="I523" s="372">
        <f t="shared" si="76"/>
        <v>0</v>
      </c>
      <c r="J523" s="359">
        <f t="shared" si="75"/>
        <v>0</v>
      </c>
    </row>
    <row r="524" spans="1:10" x14ac:dyDescent="0.35">
      <c r="A524" s="299"/>
      <c r="B524" s="881"/>
      <c r="C524" s="130" t="s">
        <v>447</v>
      </c>
      <c r="D524" s="4">
        <v>0</v>
      </c>
      <c r="E524" s="5">
        <v>1</v>
      </c>
      <c r="F524" s="21">
        <v>0</v>
      </c>
      <c r="G524" s="5">
        <v>0</v>
      </c>
      <c r="H524" s="4">
        <v>0</v>
      </c>
      <c r="I524" s="372">
        <f t="shared" si="76"/>
        <v>0</v>
      </c>
      <c r="J524" s="359">
        <f t="shared" ref="J524:J530" si="77">D524*E524*I524</f>
        <v>0</v>
      </c>
    </row>
    <row r="525" spans="1:10" x14ac:dyDescent="0.35">
      <c r="A525" s="299"/>
      <c r="B525" s="881"/>
      <c r="C525" s="130" t="s">
        <v>448</v>
      </c>
      <c r="D525" s="4">
        <v>0</v>
      </c>
      <c r="E525" s="5">
        <v>1</v>
      </c>
      <c r="F525" s="21">
        <v>0</v>
      </c>
      <c r="G525" s="5">
        <v>0</v>
      </c>
      <c r="H525" s="4">
        <v>0</v>
      </c>
      <c r="I525" s="372">
        <f t="shared" si="76"/>
        <v>0</v>
      </c>
      <c r="J525" s="359">
        <f t="shared" si="77"/>
        <v>0</v>
      </c>
    </row>
    <row r="526" spans="1:10" x14ac:dyDescent="0.35">
      <c r="A526" s="299"/>
      <c r="B526" s="881"/>
      <c r="C526" s="130" t="s">
        <v>449</v>
      </c>
      <c r="D526" s="4">
        <v>0</v>
      </c>
      <c r="E526" s="5">
        <v>1</v>
      </c>
      <c r="F526" s="21">
        <v>0</v>
      </c>
      <c r="G526" s="5">
        <v>0</v>
      </c>
      <c r="H526" s="4">
        <v>0</v>
      </c>
      <c r="I526" s="372">
        <f t="shared" si="76"/>
        <v>0</v>
      </c>
      <c r="J526" s="359">
        <f t="shared" si="77"/>
        <v>0</v>
      </c>
    </row>
    <row r="527" spans="1:10" x14ac:dyDescent="0.35">
      <c r="A527" s="299"/>
      <c r="B527" s="881"/>
      <c r="C527" s="130" t="s">
        <v>450</v>
      </c>
      <c r="D527" s="4">
        <v>0</v>
      </c>
      <c r="E527" s="5">
        <v>1</v>
      </c>
      <c r="F527" s="21">
        <v>0</v>
      </c>
      <c r="G527" s="5">
        <v>0</v>
      </c>
      <c r="H527" s="4">
        <v>0</v>
      </c>
      <c r="I527" s="372">
        <f t="shared" si="76"/>
        <v>0</v>
      </c>
      <c r="J527" s="359">
        <f t="shared" si="77"/>
        <v>0</v>
      </c>
    </row>
    <row r="528" spans="1:10" x14ac:dyDescent="0.35">
      <c r="A528" s="299"/>
      <c r="B528" s="881"/>
      <c r="C528" s="130" t="s">
        <v>451</v>
      </c>
      <c r="D528" s="4">
        <v>0</v>
      </c>
      <c r="E528" s="5">
        <v>1</v>
      </c>
      <c r="F528" s="21">
        <v>0</v>
      </c>
      <c r="G528" s="5">
        <v>0</v>
      </c>
      <c r="H528" s="4">
        <v>0</v>
      </c>
      <c r="I528" s="372">
        <f t="shared" si="76"/>
        <v>0</v>
      </c>
      <c r="J528" s="359">
        <f t="shared" si="77"/>
        <v>0</v>
      </c>
    </row>
    <row r="529" spans="1:10" x14ac:dyDescent="0.35">
      <c r="A529" s="299"/>
      <c r="B529" s="881"/>
      <c r="C529" s="130" t="s">
        <v>452</v>
      </c>
      <c r="D529" s="4">
        <v>0</v>
      </c>
      <c r="E529" s="5">
        <v>1</v>
      </c>
      <c r="F529" s="21">
        <v>0</v>
      </c>
      <c r="G529" s="5">
        <v>0</v>
      </c>
      <c r="H529" s="4">
        <v>0</v>
      </c>
      <c r="I529" s="372">
        <f t="shared" si="76"/>
        <v>0</v>
      </c>
      <c r="J529" s="359">
        <f t="shared" si="77"/>
        <v>0</v>
      </c>
    </row>
    <row r="530" spans="1:10" x14ac:dyDescent="0.35">
      <c r="A530" s="299"/>
      <c r="B530" s="881"/>
      <c r="C530" s="130" t="s">
        <v>453</v>
      </c>
      <c r="D530" s="4">
        <v>0</v>
      </c>
      <c r="E530" s="5">
        <v>1</v>
      </c>
      <c r="F530" s="21">
        <v>0</v>
      </c>
      <c r="G530" s="5">
        <v>0</v>
      </c>
      <c r="H530" s="4">
        <v>0</v>
      </c>
      <c r="I530" s="372">
        <f t="shared" si="76"/>
        <v>0</v>
      </c>
      <c r="J530" s="359">
        <f t="shared" si="77"/>
        <v>0</v>
      </c>
    </row>
    <row r="531" spans="1:10" x14ac:dyDescent="0.35">
      <c r="A531" s="299"/>
      <c r="B531" s="881"/>
      <c r="C531" s="130" t="s">
        <v>477</v>
      </c>
      <c r="D531" s="4">
        <v>0</v>
      </c>
      <c r="E531" s="5">
        <v>1</v>
      </c>
      <c r="F531" s="21">
        <v>0</v>
      </c>
      <c r="G531" s="5">
        <v>0</v>
      </c>
      <c r="H531" s="4">
        <v>0</v>
      </c>
      <c r="I531" s="372">
        <f t="shared" si="76"/>
        <v>0</v>
      </c>
      <c r="J531" s="359">
        <f t="shared" ref="J531:J543" si="78">D531*E531*I531</f>
        <v>0</v>
      </c>
    </row>
    <row r="532" spans="1:10" x14ac:dyDescent="0.35">
      <c r="A532" s="299"/>
      <c r="B532" s="881"/>
      <c r="C532" s="130" t="s">
        <v>478</v>
      </c>
      <c r="D532" s="4">
        <v>0</v>
      </c>
      <c r="E532" s="44">
        <v>1</v>
      </c>
      <c r="F532" s="21">
        <v>0</v>
      </c>
      <c r="G532" s="44">
        <v>0</v>
      </c>
      <c r="H532" s="4">
        <v>0</v>
      </c>
      <c r="I532" s="372">
        <f t="shared" si="76"/>
        <v>0</v>
      </c>
      <c r="J532" s="359">
        <f t="shared" ref="J532:J534" si="79">D532*E532*I532</f>
        <v>0</v>
      </c>
    </row>
    <row r="533" spans="1:10" x14ac:dyDescent="0.35">
      <c r="A533" s="299"/>
      <c r="B533" s="881"/>
      <c r="C533" s="130" t="s">
        <v>479</v>
      </c>
      <c r="D533" s="4">
        <v>0</v>
      </c>
      <c r="E533" s="5">
        <v>1</v>
      </c>
      <c r="F533" s="21">
        <v>0</v>
      </c>
      <c r="G533" s="5">
        <v>0</v>
      </c>
      <c r="H533" s="4">
        <v>0</v>
      </c>
      <c r="I533" s="372">
        <f t="shared" si="76"/>
        <v>0</v>
      </c>
      <c r="J533" s="359">
        <f t="shared" si="79"/>
        <v>0</v>
      </c>
    </row>
    <row r="534" spans="1:10" x14ac:dyDescent="0.35">
      <c r="A534" s="299"/>
      <c r="B534" s="881"/>
      <c r="C534" s="130" t="s">
        <v>480</v>
      </c>
      <c r="D534" s="4">
        <v>0</v>
      </c>
      <c r="E534" s="5">
        <v>1</v>
      </c>
      <c r="F534" s="21">
        <v>0</v>
      </c>
      <c r="G534" s="5">
        <v>0</v>
      </c>
      <c r="H534" s="4">
        <v>0</v>
      </c>
      <c r="I534" s="372">
        <f t="shared" si="76"/>
        <v>0</v>
      </c>
      <c r="J534" s="359">
        <f t="shared" si="79"/>
        <v>0</v>
      </c>
    </row>
    <row r="535" spans="1:10" x14ac:dyDescent="0.35">
      <c r="A535" s="299"/>
      <c r="B535" s="881"/>
      <c r="C535" s="130" t="s">
        <v>481</v>
      </c>
      <c r="D535" s="4">
        <v>0</v>
      </c>
      <c r="E535" s="5">
        <v>1</v>
      </c>
      <c r="F535" s="21">
        <v>0</v>
      </c>
      <c r="G535" s="5">
        <v>0</v>
      </c>
      <c r="H535" s="4">
        <v>0</v>
      </c>
      <c r="I535" s="372">
        <f t="shared" si="76"/>
        <v>0</v>
      </c>
      <c r="J535" s="359">
        <f t="shared" si="78"/>
        <v>0</v>
      </c>
    </row>
    <row r="536" spans="1:10" x14ac:dyDescent="0.35">
      <c r="A536" s="299"/>
      <c r="B536" s="881"/>
      <c r="C536" s="130" t="s">
        <v>482</v>
      </c>
      <c r="D536" s="4">
        <v>0</v>
      </c>
      <c r="E536" s="5">
        <v>1</v>
      </c>
      <c r="F536" s="21">
        <v>0</v>
      </c>
      <c r="G536" s="5">
        <v>0</v>
      </c>
      <c r="H536" s="4">
        <v>0</v>
      </c>
      <c r="I536" s="372">
        <f t="shared" si="76"/>
        <v>0</v>
      </c>
      <c r="J536" s="359">
        <f t="shared" si="78"/>
        <v>0</v>
      </c>
    </row>
    <row r="537" spans="1:10" x14ac:dyDescent="0.35">
      <c r="A537" s="299"/>
      <c r="B537" s="881"/>
      <c r="C537" s="130" t="s">
        <v>483</v>
      </c>
      <c r="D537" s="4">
        <v>0</v>
      </c>
      <c r="E537" s="5">
        <v>1</v>
      </c>
      <c r="F537" s="21">
        <v>0</v>
      </c>
      <c r="G537" s="5">
        <v>0</v>
      </c>
      <c r="H537" s="4">
        <v>0</v>
      </c>
      <c r="I537" s="372">
        <f t="shared" si="76"/>
        <v>0</v>
      </c>
      <c r="J537" s="359">
        <f t="shared" si="78"/>
        <v>0</v>
      </c>
    </row>
    <row r="538" spans="1:10" x14ac:dyDescent="0.35">
      <c r="A538" s="299"/>
      <c r="B538" s="881"/>
      <c r="C538" s="130" t="s">
        <v>484</v>
      </c>
      <c r="D538" s="4">
        <v>0</v>
      </c>
      <c r="E538" s="5">
        <v>1</v>
      </c>
      <c r="F538" s="21">
        <v>0</v>
      </c>
      <c r="G538" s="5">
        <v>0</v>
      </c>
      <c r="H538" s="4">
        <v>0</v>
      </c>
      <c r="I538" s="372">
        <f t="shared" si="76"/>
        <v>0</v>
      </c>
      <c r="J538" s="359">
        <f t="shared" si="78"/>
        <v>0</v>
      </c>
    </row>
    <row r="539" spans="1:10" x14ac:dyDescent="0.35">
      <c r="A539" s="299"/>
      <c r="B539" s="881"/>
      <c r="C539" s="124" t="s">
        <v>125</v>
      </c>
      <c r="D539" s="4">
        <v>0</v>
      </c>
      <c r="E539" s="5">
        <v>1</v>
      </c>
      <c r="F539" s="21">
        <v>0</v>
      </c>
      <c r="G539" s="5">
        <v>0</v>
      </c>
      <c r="H539" s="4">
        <v>0</v>
      </c>
      <c r="I539" s="372">
        <f t="shared" si="76"/>
        <v>0</v>
      </c>
      <c r="J539" s="359">
        <f t="shared" si="78"/>
        <v>0</v>
      </c>
    </row>
    <row r="540" spans="1:10" x14ac:dyDescent="0.35">
      <c r="A540" s="299"/>
      <c r="B540" s="881"/>
      <c r="C540" s="124" t="s">
        <v>125</v>
      </c>
      <c r="D540" s="4">
        <v>0</v>
      </c>
      <c r="E540" s="5">
        <v>1</v>
      </c>
      <c r="F540" s="21">
        <v>0</v>
      </c>
      <c r="G540" s="5">
        <v>0</v>
      </c>
      <c r="H540" s="4">
        <v>0</v>
      </c>
      <c r="I540" s="372">
        <f t="shared" si="76"/>
        <v>0</v>
      </c>
      <c r="J540" s="359">
        <f t="shared" si="78"/>
        <v>0</v>
      </c>
    </row>
    <row r="541" spans="1:10" x14ac:dyDescent="0.35">
      <c r="A541" s="299"/>
      <c r="B541" s="881"/>
      <c r="C541" s="124" t="s">
        <v>125</v>
      </c>
      <c r="D541" s="4">
        <v>0</v>
      </c>
      <c r="E541" s="5">
        <v>1</v>
      </c>
      <c r="F541" s="21">
        <v>0</v>
      </c>
      <c r="G541" s="5">
        <v>0</v>
      </c>
      <c r="H541" s="4">
        <v>0</v>
      </c>
      <c r="I541" s="372">
        <f t="shared" si="76"/>
        <v>0</v>
      </c>
      <c r="J541" s="359">
        <f t="shared" si="78"/>
        <v>0</v>
      </c>
    </row>
    <row r="542" spans="1:10" x14ac:dyDescent="0.35">
      <c r="A542" s="299"/>
      <c r="B542" s="881"/>
      <c r="C542" s="130" t="s">
        <v>686</v>
      </c>
      <c r="D542" s="4">
        <v>0</v>
      </c>
      <c r="E542" s="5">
        <v>1</v>
      </c>
      <c r="F542" s="21">
        <v>0</v>
      </c>
      <c r="G542" s="5">
        <v>0</v>
      </c>
      <c r="H542" s="4">
        <v>0</v>
      </c>
      <c r="I542" s="372">
        <f t="shared" si="76"/>
        <v>0</v>
      </c>
      <c r="J542" s="359">
        <f t="shared" si="78"/>
        <v>0</v>
      </c>
    </row>
    <row r="543" spans="1:10" x14ac:dyDescent="0.35">
      <c r="A543" s="299"/>
      <c r="B543" s="881"/>
      <c r="C543" s="130"/>
      <c r="D543" s="4"/>
      <c r="E543" s="5"/>
      <c r="F543" s="21"/>
      <c r="G543" s="5"/>
      <c r="H543" s="4"/>
      <c r="I543" s="372">
        <f t="shared" si="76"/>
        <v>0</v>
      </c>
      <c r="J543" s="359">
        <f t="shared" si="78"/>
        <v>0</v>
      </c>
    </row>
    <row r="544" spans="1:10" x14ac:dyDescent="0.35">
      <c r="A544" s="299"/>
      <c r="B544" s="881"/>
      <c r="C544" s="130"/>
      <c r="D544" s="4"/>
      <c r="E544" s="5"/>
      <c r="F544" s="21"/>
      <c r="G544" s="5"/>
      <c r="H544" s="4"/>
      <c r="I544" s="372">
        <f t="shared" si="76"/>
        <v>0</v>
      </c>
      <c r="J544" s="359">
        <f>D544*E544*I544</f>
        <v>0</v>
      </c>
    </row>
    <row r="545" spans="1:11" x14ac:dyDescent="0.35">
      <c r="A545" s="299"/>
      <c r="B545" s="881"/>
      <c r="C545" s="130"/>
      <c r="D545" s="43"/>
      <c r="E545" s="44"/>
      <c r="F545" s="45"/>
      <c r="G545" s="44"/>
      <c r="H545" s="43"/>
      <c r="I545" s="372">
        <f t="shared" si="76"/>
        <v>0</v>
      </c>
      <c r="J545" s="359">
        <f t="shared" ref="J545:J549" si="80">D545*E545*I545</f>
        <v>0</v>
      </c>
    </row>
    <row r="546" spans="1:11" x14ac:dyDescent="0.35">
      <c r="A546" s="299"/>
      <c r="B546" s="881"/>
      <c r="C546" s="130"/>
      <c r="D546" s="4"/>
      <c r="E546" s="5"/>
      <c r="F546" s="40"/>
      <c r="G546" s="5"/>
      <c r="H546" s="4"/>
      <c r="I546" s="372">
        <f t="shared" si="76"/>
        <v>0</v>
      </c>
      <c r="J546" s="359">
        <f t="shared" si="80"/>
        <v>0</v>
      </c>
    </row>
    <row r="547" spans="1:11" x14ac:dyDescent="0.35">
      <c r="A547" s="299"/>
      <c r="B547" s="881"/>
      <c r="C547" s="130"/>
      <c r="D547" s="4"/>
      <c r="E547" s="5"/>
      <c r="F547" s="40"/>
      <c r="G547" s="5"/>
      <c r="H547" s="4"/>
      <c r="I547" s="372">
        <f t="shared" si="76"/>
        <v>0</v>
      </c>
      <c r="J547" s="359">
        <f t="shared" si="80"/>
        <v>0</v>
      </c>
    </row>
    <row r="548" spans="1:11" x14ac:dyDescent="0.35">
      <c r="A548" s="299"/>
      <c r="B548" s="881"/>
      <c r="C548" s="130"/>
      <c r="D548" s="4"/>
      <c r="E548" s="5"/>
      <c r="F548" s="40"/>
      <c r="G548" s="5"/>
      <c r="H548" s="4"/>
      <c r="I548" s="372">
        <f t="shared" si="76"/>
        <v>0</v>
      </c>
      <c r="J548" s="359">
        <f t="shared" si="80"/>
        <v>0</v>
      </c>
    </row>
    <row r="549" spans="1:11" x14ac:dyDescent="0.35">
      <c r="A549" s="299"/>
      <c r="B549" s="881"/>
      <c r="C549" s="130"/>
      <c r="D549" s="4"/>
      <c r="E549" s="5"/>
      <c r="F549" s="40"/>
      <c r="G549" s="5"/>
      <c r="H549" s="4"/>
      <c r="I549" s="372">
        <f t="shared" si="76"/>
        <v>0</v>
      </c>
      <c r="J549" s="359">
        <f t="shared" si="80"/>
        <v>0</v>
      </c>
    </row>
    <row r="550" spans="1:11" x14ac:dyDescent="0.35">
      <c r="A550" s="299"/>
      <c r="B550" s="881"/>
      <c r="C550" s="130"/>
      <c r="D550" s="4"/>
      <c r="E550" s="5"/>
      <c r="F550" s="40"/>
      <c r="G550" s="5"/>
      <c r="H550" s="4"/>
      <c r="I550" s="372">
        <f t="shared" si="76"/>
        <v>0</v>
      </c>
      <c r="J550" s="359">
        <f t="shared" ref="J550:J551" si="81">D550*E550*I550</f>
        <v>0</v>
      </c>
    </row>
    <row r="551" spans="1:11" x14ac:dyDescent="0.35">
      <c r="A551" s="299"/>
      <c r="B551" s="881"/>
      <c r="C551" s="130"/>
      <c r="D551" s="4"/>
      <c r="E551" s="5"/>
      <c r="F551" s="40"/>
      <c r="G551" s="5"/>
      <c r="H551" s="4"/>
      <c r="I551" s="372">
        <f t="shared" si="76"/>
        <v>0</v>
      </c>
      <c r="J551" s="359">
        <f t="shared" si="81"/>
        <v>0</v>
      </c>
    </row>
    <row r="552" spans="1:11" x14ac:dyDescent="0.35">
      <c r="A552" s="299"/>
      <c r="B552" s="881"/>
      <c r="C552" s="130"/>
      <c r="D552" s="4"/>
      <c r="E552" s="5"/>
      <c r="F552" s="40"/>
      <c r="G552" s="5"/>
      <c r="H552" s="4"/>
      <c r="I552" s="372">
        <f t="shared" si="76"/>
        <v>0</v>
      </c>
      <c r="J552" s="359">
        <f t="shared" ref="J552:J553" si="82">D552*E552*I552</f>
        <v>0</v>
      </c>
    </row>
    <row r="553" spans="1:11" x14ac:dyDescent="0.35">
      <c r="A553" s="299"/>
      <c r="B553" s="881"/>
      <c r="C553" s="130"/>
      <c r="D553" s="4"/>
      <c r="E553" s="5"/>
      <c r="F553" s="40"/>
      <c r="G553" s="5"/>
      <c r="H553" s="4"/>
      <c r="I553" s="372">
        <f t="shared" si="76"/>
        <v>0</v>
      </c>
      <c r="J553" s="359">
        <f t="shared" si="82"/>
        <v>0</v>
      </c>
    </row>
    <row r="554" spans="1:11" ht="15" thickBot="1" x14ac:dyDescent="0.4">
      <c r="A554" s="299"/>
      <c r="B554" s="881"/>
      <c r="C554" s="132"/>
      <c r="D554" s="113"/>
      <c r="E554" s="114"/>
      <c r="F554" s="116"/>
      <c r="G554" s="114"/>
      <c r="H554" s="113"/>
      <c r="I554" s="373">
        <f t="shared" si="76"/>
        <v>0</v>
      </c>
      <c r="J554" s="374">
        <f>D554*E554*I554</f>
        <v>0</v>
      </c>
    </row>
    <row r="555" spans="1:11" ht="29" thickBot="1" x14ac:dyDescent="0.4">
      <c r="A555" s="299"/>
      <c r="B555" s="881"/>
      <c r="C555" s="891" t="str">
        <f>Language!A39</f>
        <v>Infraestructura, diseño y terrenos</v>
      </c>
      <c r="D555" s="892"/>
      <c r="E555" s="892"/>
      <c r="F555" s="892"/>
      <c r="G555" s="892"/>
      <c r="H555" s="892"/>
      <c r="I555" s="892"/>
      <c r="J555" s="893"/>
      <c r="K555" s="343"/>
    </row>
    <row r="556" spans="1:11" x14ac:dyDescent="0.35">
      <c r="A556" s="299"/>
      <c r="B556" s="881"/>
      <c r="C556" s="344" t="s">
        <v>302</v>
      </c>
      <c r="D556" s="378" t="str">
        <f>D262</f>
        <v>Cantidad []</v>
      </c>
      <c r="E556" s="378" t="str">
        <f t="shared" ref="E556:I556" si="83">E262</f>
        <v>Dedicación a la prestación del servicio de gestión de los residuos sólidos [%]</v>
      </c>
      <c r="F556" s="378" t="str">
        <f t="shared" si="83"/>
        <v>Costo unitario [$$$]</v>
      </c>
      <c r="G556" s="378" t="str">
        <f t="shared" si="83"/>
        <v>Tasa de interés préstamo [%]</v>
      </c>
      <c r="H556" s="378" t="str">
        <f t="shared" si="83"/>
        <v>Tiempo de vida [años]</v>
      </c>
      <c r="I556" s="379" t="str">
        <f t="shared" si="83"/>
        <v>Costo unitario por año [$$$/año]</v>
      </c>
      <c r="J556" s="380" t="s">
        <v>301</v>
      </c>
      <c r="K556" s="381"/>
    </row>
    <row r="557" spans="1:11" x14ac:dyDescent="0.35">
      <c r="A557" s="299"/>
      <c r="B557" s="881"/>
      <c r="C557" s="352" t="str">
        <f>Language!A24</f>
        <v>Barrido de vías y áreas públicas</v>
      </c>
      <c r="D557" s="370"/>
      <c r="E557" s="355"/>
      <c r="F557" s="371"/>
      <c r="G557" s="370"/>
      <c r="H557" s="370"/>
      <c r="I557" s="377"/>
      <c r="J557" s="359"/>
    </row>
    <row r="558" spans="1:11" x14ac:dyDescent="0.35">
      <c r="A558" s="299"/>
      <c r="B558" s="881"/>
      <c r="C558" s="130" t="s">
        <v>785</v>
      </c>
      <c r="D558" s="4">
        <v>0</v>
      </c>
      <c r="E558" s="5">
        <v>1</v>
      </c>
      <c r="F558" s="21">
        <v>0</v>
      </c>
      <c r="G558" s="5">
        <v>0</v>
      </c>
      <c r="H558" s="4">
        <v>0</v>
      </c>
      <c r="I558" s="372">
        <f t="shared" ref="I558:I627" si="84">IF(H558=0,0,IF(G558=0,E558*F558/H558,(F558*G558*((1+G558)^H558))/(((1+G558)^H558)-1)))</f>
        <v>0</v>
      </c>
      <c r="J558" s="359">
        <f t="shared" ref="J558:J567" si="85">D558*E558*I558</f>
        <v>0</v>
      </c>
    </row>
    <row r="559" spans="1:11" x14ac:dyDescent="0.35">
      <c r="A559" s="299"/>
      <c r="B559" s="881"/>
      <c r="C559" s="124" t="s">
        <v>125</v>
      </c>
      <c r="D559" s="4">
        <v>0</v>
      </c>
      <c r="E559" s="5">
        <v>1</v>
      </c>
      <c r="F559" s="21">
        <v>0</v>
      </c>
      <c r="G559" s="5">
        <v>0</v>
      </c>
      <c r="H559" s="4">
        <v>0</v>
      </c>
      <c r="I559" s="372">
        <f t="shared" si="84"/>
        <v>0</v>
      </c>
      <c r="J559" s="359">
        <f t="shared" ref="J559:J560" si="86">D559*E559*I559</f>
        <v>0</v>
      </c>
    </row>
    <row r="560" spans="1:11" x14ac:dyDescent="0.35">
      <c r="A560" s="299"/>
      <c r="B560" s="881"/>
      <c r="C560" s="124" t="s">
        <v>125</v>
      </c>
      <c r="D560" s="4"/>
      <c r="E560" s="5"/>
      <c r="F560" s="21"/>
      <c r="G560" s="5"/>
      <c r="H560" s="4"/>
      <c r="I560" s="372">
        <f t="shared" si="84"/>
        <v>0</v>
      </c>
      <c r="J560" s="359">
        <f t="shared" si="86"/>
        <v>0</v>
      </c>
    </row>
    <row r="561" spans="1:10" x14ac:dyDescent="0.35">
      <c r="A561" s="299"/>
      <c r="B561" s="881"/>
      <c r="C561" s="124" t="s">
        <v>125</v>
      </c>
      <c r="D561" s="4"/>
      <c r="E561" s="5"/>
      <c r="F561" s="21"/>
      <c r="G561" s="5"/>
      <c r="H561" s="4"/>
      <c r="I561" s="372">
        <f t="shared" si="84"/>
        <v>0</v>
      </c>
      <c r="J561" s="359">
        <f t="shared" ref="J561:J562" si="87">D561*E561*I561</f>
        <v>0</v>
      </c>
    </row>
    <row r="562" spans="1:10" x14ac:dyDescent="0.35">
      <c r="A562" s="299"/>
      <c r="B562" s="881"/>
      <c r="C562" s="130"/>
      <c r="D562" s="4"/>
      <c r="E562" s="5"/>
      <c r="F562" s="21"/>
      <c r="G562" s="5"/>
      <c r="H562" s="4"/>
      <c r="I562" s="372">
        <f t="shared" si="84"/>
        <v>0</v>
      </c>
      <c r="J562" s="359">
        <f t="shared" si="87"/>
        <v>0</v>
      </c>
    </row>
    <row r="563" spans="1:10" x14ac:dyDescent="0.35">
      <c r="A563" s="299"/>
      <c r="B563" s="881"/>
      <c r="C563" s="130"/>
      <c r="D563" s="4"/>
      <c r="E563" s="5"/>
      <c r="F563" s="21"/>
      <c r="G563" s="5"/>
      <c r="H563" s="4"/>
      <c r="I563" s="372">
        <f t="shared" si="84"/>
        <v>0</v>
      </c>
      <c r="J563" s="359">
        <f t="shared" ref="J563:J564" si="88">D563*E563*I563</f>
        <v>0</v>
      </c>
    </row>
    <row r="564" spans="1:10" x14ac:dyDescent="0.35">
      <c r="A564" s="299"/>
      <c r="B564" s="881"/>
      <c r="C564" s="130"/>
      <c r="D564" s="4"/>
      <c r="E564" s="5"/>
      <c r="F564" s="21"/>
      <c r="G564" s="5"/>
      <c r="H564" s="4"/>
      <c r="I564" s="372">
        <f t="shared" si="84"/>
        <v>0</v>
      </c>
      <c r="J564" s="359">
        <f t="shared" si="88"/>
        <v>0</v>
      </c>
    </row>
    <row r="565" spans="1:10" x14ac:dyDescent="0.35">
      <c r="A565" s="299"/>
      <c r="B565" s="881"/>
      <c r="C565" s="130"/>
      <c r="D565" s="4"/>
      <c r="E565" s="5"/>
      <c r="F565" s="21"/>
      <c r="G565" s="5"/>
      <c r="H565" s="4"/>
      <c r="I565" s="372">
        <f t="shared" si="84"/>
        <v>0</v>
      </c>
      <c r="J565" s="359">
        <f t="shared" si="85"/>
        <v>0</v>
      </c>
    </row>
    <row r="566" spans="1:10" x14ac:dyDescent="0.35">
      <c r="A566" s="299"/>
      <c r="B566" s="881"/>
      <c r="C566" s="130"/>
      <c r="D566" s="4"/>
      <c r="E566" s="5"/>
      <c r="F566" s="21"/>
      <c r="G566" s="5"/>
      <c r="H566" s="4"/>
      <c r="I566" s="372">
        <f t="shared" si="84"/>
        <v>0</v>
      </c>
      <c r="J566" s="359">
        <f t="shared" si="85"/>
        <v>0</v>
      </c>
    </row>
    <row r="567" spans="1:10" x14ac:dyDescent="0.35">
      <c r="A567" s="299"/>
      <c r="B567" s="881"/>
      <c r="C567" s="130"/>
      <c r="D567" s="4"/>
      <c r="E567" s="5"/>
      <c r="F567" s="21"/>
      <c r="G567" s="5"/>
      <c r="H567" s="4"/>
      <c r="I567" s="372">
        <f t="shared" si="84"/>
        <v>0</v>
      </c>
      <c r="J567" s="359">
        <f t="shared" si="85"/>
        <v>0</v>
      </c>
    </row>
    <row r="568" spans="1:10" x14ac:dyDescent="0.35">
      <c r="A568" s="299"/>
      <c r="B568" s="881"/>
      <c r="C568" s="352" t="str">
        <f>Language!A25</f>
        <v>Taller de mantenimiento</v>
      </c>
      <c r="D568" s="370"/>
      <c r="E568" s="355"/>
      <c r="F568" s="371"/>
      <c r="G568" s="370"/>
      <c r="H568" s="370"/>
      <c r="I568" s="377"/>
      <c r="J568" s="359"/>
    </row>
    <row r="569" spans="1:10" x14ac:dyDescent="0.35">
      <c r="A569" s="299"/>
      <c r="B569" s="881"/>
      <c r="C569" s="130" t="s">
        <v>664</v>
      </c>
      <c r="D569" s="4">
        <v>0</v>
      </c>
      <c r="E569" s="5">
        <v>1</v>
      </c>
      <c r="F569" s="21">
        <v>0</v>
      </c>
      <c r="G569" s="5">
        <v>0</v>
      </c>
      <c r="H569" s="4">
        <v>0</v>
      </c>
      <c r="I569" s="372">
        <f t="shared" si="84"/>
        <v>0</v>
      </c>
      <c r="J569" s="359">
        <f t="shared" ref="J569:J578" si="89">D569*E569*I569</f>
        <v>0</v>
      </c>
    </row>
    <row r="570" spans="1:10" x14ac:dyDescent="0.35">
      <c r="A570" s="299"/>
      <c r="B570" s="881"/>
      <c r="C570" s="124" t="s">
        <v>125</v>
      </c>
      <c r="D570" s="4"/>
      <c r="E570" s="5"/>
      <c r="F570" s="21"/>
      <c r="G570" s="5"/>
      <c r="H570" s="4"/>
      <c r="I570" s="372">
        <f t="shared" si="84"/>
        <v>0</v>
      </c>
      <c r="J570" s="359">
        <f t="shared" ref="J570:J571" si="90">D570*E570*I570</f>
        <v>0</v>
      </c>
    </row>
    <row r="571" spans="1:10" x14ac:dyDescent="0.35">
      <c r="A571" s="299"/>
      <c r="B571" s="881"/>
      <c r="C571" s="124" t="s">
        <v>125</v>
      </c>
      <c r="D571" s="4"/>
      <c r="E571" s="5"/>
      <c r="F571" s="21"/>
      <c r="G571" s="5"/>
      <c r="H571" s="4"/>
      <c r="I571" s="372">
        <f t="shared" si="84"/>
        <v>0</v>
      </c>
      <c r="J571" s="359">
        <f t="shared" si="90"/>
        <v>0</v>
      </c>
    </row>
    <row r="572" spans="1:10" x14ac:dyDescent="0.35">
      <c r="A572" s="299"/>
      <c r="B572" s="881"/>
      <c r="C572" s="124" t="s">
        <v>125</v>
      </c>
      <c r="D572" s="4"/>
      <c r="E572" s="5"/>
      <c r="F572" s="21"/>
      <c r="G572" s="5"/>
      <c r="H572" s="4"/>
      <c r="I572" s="372">
        <f t="shared" si="84"/>
        <v>0</v>
      </c>
      <c r="J572" s="359">
        <f t="shared" ref="J572:J573" si="91">D572*E572*I572</f>
        <v>0</v>
      </c>
    </row>
    <row r="573" spans="1:10" x14ac:dyDescent="0.35">
      <c r="A573" s="299"/>
      <c r="B573" s="881"/>
      <c r="C573" s="130"/>
      <c r="D573" s="4"/>
      <c r="E573" s="5"/>
      <c r="F573" s="21"/>
      <c r="G573" s="5"/>
      <c r="H573" s="4"/>
      <c r="I573" s="372">
        <f t="shared" si="84"/>
        <v>0</v>
      </c>
      <c r="J573" s="359">
        <f t="shared" si="91"/>
        <v>0</v>
      </c>
    </row>
    <row r="574" spans="1:10" x14ac:dyDescent="0.35">
      <c r="A574" s="299"/>
      <c r="B574" s="881"/>
      <c r="C574" s="130"/>
      <c r="D574" s="4"/>
      <c r="E574" s="5"/>
      <c r="F574" s="21"/>
      <c r="G574" s="5"/>
      <c r="H574" s="4"/>
      <c r="I574" s="372">
        <f t="shared" si="84"/>
        <v>0</v>
      </c>
      <c r="J574" s="359">
        <f t="shared" ref="J574:J575" si="92">D574*E574*I574</f>
        <v>0</v>
      </c>
    </row>
    <row r="575" spans="1:10" x14ac:dyDescent="0.35">
      <c r="A575" s="299"/>
      <c r="B575" s="881"/>
      <c r="C575" s="130"/>
      <c r="D575" s="4"/>
      <c r="E575" s="5"/>
      <c r="F575" s="21"/>
      <c r="G575" s="5"/>
      <c r="H575" s="4"/>
      <c r="I575" s="372">
        <f t="shared" si="84"/>
        <v>0</v>
      </c>
      <c r="J575" s="359">
        <f t="shared" si="92"/>
        <v>0</v>
      </c>
    </row>
    <row r="576" spans="1:10" x14ac:dyDescent="0.35">
      <c r="A576" s="299"/>
      <c r="B576" s="881"/>
      <c r="C576" s="130"/>
      <c r="D576" s="4"/>
      <c r="E576" s="5"/>
      <c r="F576" s="21"/>
      <c r="G576" s="5"/>
      <c r="H576" s="4"/>
      <c r="I576" s="372">
        <f t="shared" si="84"/>
        <v>0</v>
      </c>
      <c r="J576" s="359">
        <f t="shared" si="89"/>
        <v>0</v>
      </c>
    </row>
    <row r="577" spans="1:10" x14ac:dyDescent="0.35">
      <c r="A577" s="299"/>
      <c r="B577" s="881"/>
      <c r="C577" s="130"/>
      <c r="D577" s="4"/>
      <c r="E577" s="5"/>
      <c r="F577" s="21"/>
      <c r="G577" s="5"/>
      <c r="H577" s="4"/>
      <c r="I577" s="372">
        <f t="shared" si="84"/>
        <v>0</v>
      </c>
      <c r="J577" s="359">
        <f t="shared" si="89"/>
        <v>0</v>
      </c>
    </row>
    <row r="578" spans="1:10" x14ac:dyDescent="0.35">
      <c r="A578" s="299"/>
      <c r="B578" s="881"/>
      <c r="C578" s="130"/>
      <c r="D578" s="4"/>
      <c r="E578" s="5"/>
      <c r="F578" s="21"/>
      <c r="G578" s="5"/>
      <c r="H578" s="4"/>
      <c r="I578" s="372">
        <f t="shared" si="84"/>
        <v>0</v>
      </c>
      <c r="J578" s="359">
        <f t="shared" si="89"/>
        <v>0</v>
      </c>
    </row>
    <row r="579" spans="1:10" x14ac:dyDescent="0.35">
      <c r="A579" s="299"/>
      <c r="B579" s="881"/>
      <c r="C579" s="360" t="str">
        <f>Language!A26</f>
        <v>Servicio de recolección</v>
      </c>
      <c r="D579" s="370"/>
      <c r="E579" s="355"/>
      <c r="F579" s="371"/>
      <c r="G579" s="370"/>
      <c r="H579" s="370"/>
      <c r="I579" s="377"/>
      <c r="J579" s="359"/>
    </row>
    <row r="580" spans="1:10" x14ac:dyDescent="0.35">
      <c r="A580" s="299"/>
      <c r="B580" s="881"/>
      <c r="C580" s="130" t="s">
        <v>786</v>
      </c>
      <c r="D580" s="4">
        <v>0</v>
      </c>
      <c r="E580" s="5">
        <v>1</v>
      </c>
      <c r="F580" s="21">
        <v>0</v>
      </c>
      <c r="G580" s="5">
        <v>0</v>
      </c>
      <c r="H580" s="4">
        <v>0</v>
      </c>
      <c r="I580" s="372">
        <f t="shared" si="84"/>
        <v>0</v>
      </c>
      <c r="J580" s="359">
        <f t="shared" ref="J580:J586" si="93">D580*E580*I580</f>
        <v>0</v>
      </c>
    </row>
    <row r="581" spans="1:10" x14ac:dyDescent="0.35">
      <c r="A581" s="299"/>
      <c r="B581" s="881"/>
      <c r="C581" s="124" t="s">
        <v>125</v>
      </c>
      <c r="D581" s="4"/>
      <c r="E581" s="5"/>
      <c r="F581" s="21"/>
      <c r="G581" s="5"/>
      <c r="H581" s="4"/>
      <c r="I581" s="372">
        <f t="shared" si="84"/>
        <v>0</v>
      </c>
      <c r="J581" s="359">
        <f t="shared" ref="J581:J582" si="94">D581*E581*I581</f>
        <v>0</v>
      </c>
    </row>
    <row r="582" spans="1:10" x14ac:dyDescent="0.35">
      <c r="A582" s="299"/>
      <c r="B582" s="881"/>
      <c r="C582" s="124" t="s">
        <v>125</v>
      </c>
      <c r="D582" s="4"/>
      <c r="E582" s="5"/>
      <c r="F582" s="21"/>
      <c r="G582" s="5"/>
      <c r="H582" s="4"/>
      <c r="I582" s="372">
        <f t="shared" si="84"/>
        <v>0</v>
      </c>
      <c r="J582" s="359">
        <f t="shared" si="94"/>
        <v>0</v>
      </c>
    </row>
    <row r="583" spans="1:10" x14ac:dyDescent="0.35">
      <c r="A583" s="299"/>
      <c r="B583" s="881"/>
      <c r="C583" s="124" t="s">
        <v>125</v>
      </c>
      <c r="D583" s="4"/>
      <c r="E583" s="5"/>
      <c r="F583" s="21"/>
      <c r="G583" s="5"/>
      <c r="H583" s="4"/>
      <c r="I583" s="372">
        <f t="shared" si="84"/>
        <v>0</v>
      </c>
      <c r="J583" s="359">
        <f t="shared" ref="J583:J584" si="95">D583*E583*I583</f>
        <v>0</v>
      </c>
    </row>
    <row r="584" spans="1:10" x14ac:dyDescent="0.35">
      <c r="A584" s="299"/>
      <c r="B584" s="881"/>
      <c r="C584" s="130"/>
      <c r="D584" s="4"/>
      <c r="E584" s="5"/>
      <c r="F584" s="21"/>
      <c r="G584" s="5"/>
      <c r="H584" s="4"/>
      <c r="I584" s="372">
        <f t="shared" si="84"/>
        <v>0</v>
      </c>
      <c r="J584" s="359">
        <f t="shared" si="95"/>
        <v>0</v>
      </c>
    </row>
    <row r="585" spans="1:10" x14ac:dyDescent="0.35">
      <c r="A585" s="299"/>
      <c r="B585" s="881"/>
      <c r="C585" s="130"/>
      <c r="D585" s="4"/>
      <c r="E585" s="5"/>
      <c r="F585" s="21"/>
      <c r="G585" s="5"/>
      <c r="H585" s="4"/>
      <c r="I585" s="372">
        <f t="shared" si="84"/>
        <v>0</v>
      </c>
      <c r="J585" s="359">
        <f t="shared" si="93"/>
        <v>0</v>
      </c>
    </row>
    <row r="586" spans="1:10" x14ac:dyDescent="0.35">
      <c r="A586" s="299"/>
      <c r="B586" s="881"/>
      <c r="C586" s="130"/>
      <c r="D586" s="4"/>
      <c r="E586" s="5"/>
      <c r="F586" s="21"/>
      <c r="G586" s="5"/>
      <c r="H586" s="4"/>
      <c r="I586" s="372">
        <f t="shared" si="84"/>
        <v>0</v>
      </c>
      <c r="J586" s="359">
        <f t="shared" si="93"/>
        <v>0</v>
      </c>
    </row>
    <row r="587" spans="1:10" x14ac:dyDescent="0.35">
      <c r="A587" s="299"/>
      <c r="B587" s="881"/>
      <c r="C587" s="130"/>
      <c r="D587" s="4"/>
      <c r="E587" s="5"/>
      <c r="F587" s="21"/>
      <c r="G587" s="5"/>
      <c r="H587" s="4"/>
      <c r="I587" s="372">
        <f t="shared" si="84"/>
        <v>0</v>
      </c>
      <c r="J587" s="359">
        <f t="shared" ref="J587" si="96">D587*E587*I587</f>
        <v>0</v>
      </c>
    </row>
    <row r="588" spans="1:10" x14ac:dyDescent="0.35">
      <c r="A588" s="299"/>
      <c r="B588" s="881"/>
      <c r="C588" s="360" t="str">
        <f>Language!A27</f>
        <v>Planta de reciclaje</v>
      </c>
      <c r="D588" s="370"/>
      <c r="E588" s="355"/>
      <c r="F588" s="371"/>
      <c r="G588" s="370"/>
      <c r="H588" s="370"/>
      <c r="I588" s="377"/>
      <c r="J588" s="359"/>
    </row>
    <row r="589" spans="1:10" x14ac:dyDescent="0.35">
      <c r="A589" s="299"/>
      <c r="B589" s="881"/>
      <c r="C589" s="130" t="s">
        <v>670</v>
      </c>
      <c r="D589" s="4">
        <v>0</v>
      </c>
      <c r="E589" s="5">
        <v>1</v>
      </c>
      <c r="F589" s="21">
        <v>0</v>
      </c>
      <c r="G589" s="5">
        <v>0</v>
      </c>
      <c r="H589" s="4">
        <v>0</v>
      </c>
      <c r="I589" s="372">
        <f t="shared" si="84"/>
        <v>0</v>
      </c>
      <c r="J589" s="359">
        <f t="shared" ref="J589" si="97">D589*E589*I589</f>
        <v>0</v>
      </c>
    </row>
    <row r="590" spans="1:10" x14ac:dyDescent="0.35">
      <c r="A590" s="299"/>
      <c r="B590" s="881"/>
      <c r="C590" s="124" t="s">
        <v>125</v>
      </c>
      <c r="D590" s="4"/>
      <c r="E590" s="5"/>
      <c r="F590" s="21"/>
      <c r="G590" s="5"/>
      <c r="H590" s="4"/>
      <c r="I590" s="372">
        <f t="shared" si="84"/>
        <v>0</v>
      </c>
      <c r="J590" s="359">
        <f t="shared" ref="J590:J591" si="98">D590*E590*I590</f>
        <v>0</v>
      </c>
    </row>
    <row r="591" spans="1:10" x14ac:dyDescent="0.35">
      <c r="A591" s="299"/>
      <c r="B591" s="881"/>
      <c r="C591" s="124" t="s">
        <v>125</v>
      </c>
      <c r="D591" s="4"/>
      <c r="E591" s="5"/>
      <c r="F591" s="21"/>
      <c r="G591" s="5"/>
      <c r="H591" s="4"/>
      <c r="I591" s="372">
        <f t="shared" si="84"/>
        <v>0</v>
      </c>
      <c r="J591" s="359">
        <f t="shared" si="98"/>
        <v>0</v>
      </c>
    </row>
    <row r="592" spans="1:10" x14ac:dyDescent="0.35">
      <c r="A592" s="299"/>
      <c r="B592" s="881"/>
      <c r="C592" s="124" t="s">
        <v>125</v>
      </c>
      <c r="D592" s="4"/>
      <c r="E592" s="5"/>
      <c r="F592" s="21"/>
      <c r="G592" s="5"/>
      <c r="H592" s="4"/>
      <c r="I592" s="372">
        <f t="shared" si="84"/>
        <v>0</v>
      </c>
      <c r="J592" s="359">
        <f t="shared" ref="J592:J593" si="99">D592*E592*I592</f>
        <v>0</v>
      </c>
    </row>
    <row r="593" spans="1:10" x14ac:dyDescent="0.35">
      <c r="A593" s="299"/>
      <c r="B593" s="881"/>
      <c r="C593" s="130"/>
      <c r="D593" s="4"/>
      <c r="E593" s="5"/>
      <c r="F593" s="21"/>
      <c r="G593" s="5"/>
      <c r="H593" s="4"/>
      <c r="I593" s="372">
        <f t="shared" si="84"/>
        <v>0</v>
      </c>
      <c r="J593" s="359">
        <f t="shared" si="99"/>
        <v>0</v>
      </c>
    </row>
    <row r="594" spans="1:10" x14ac:dyDescent="0.35">
      <c r="A594" s="299"/>
      <c r="B594" s="881"/>
      <c r="C594" s="130"/>
      <c r="D594" s="4"/>
      <c r="E594" s="5"/>
      <c r="F594" s="21"/>
      <c r="G594" s="5"/>
      <c r="H594" s="4"/>
      <c r="I594" s="372">
        <f t="shared" si="84"/>
        <v>0</v>
      </c>
      <c r="J594" s="359">
        <f t="shared" ref="J594" si="100">D594*E594*I594</f>
        <v>0</v>
      </c>
    </row>
    <row r="595" spans="1:10" x14ac:dyDescent="0.35">
      <c r="A595" s="299"/>
      <c r="B595" s="881"/>
      <c r="C595" s="130"/>
      <c r="D595" s="4"/>
      <c r="E595" s="5"/>
      <c r="F595" s="21"/>
      <c r="G595" s="5"/>
      <c r="H595" s="4"/>
      <c r="I595" s="372">
        <f t="shared" si="84"/>
        <v>0</v>
      </c>
      <c r="J595" s="359">
        <f t="shared" ref="J595:J596" si="101">D595*E595*I595</f>
        <v>0</v>
      </c>
    </row>
    <row r="596" spans="1:10" x14ac:dyDescent="0.35">
      <c r="A596" s="299"/>
      <c r="B596" s="881"/>
      <c r="C596" s="130"/>
      <c r="D596" s="6"/>
      <c r="E596" s="7"/>
      <c r="F596" s="21"/>
      <c r="G596" s="5"/>
      <c r="H596" s="4"/>
      <c r="I596" s="372">
        <f t="shared" si="84"/>
        <v>0</v>
      </c>
      <c r="J596" s="359">
        <f t="shared" si="101"/>
        <v>0</v>
      </c>
    </row>
    <row r="597" spans="1:10" x14ac:dyDescent="0.35">
      <c r="A597" s="299"/>
      <c r="B597" s="881"/>
      <c r="C597" s="360" t="str">
        <f>Language!A28</f>
        <v>Planta de compostaje</v>
      </c>
      <c r="D597" s="370"/>
      <c r="E597" s="355"/>
      <c r="F597" s="371"/>
      <c r="G597" s="370"/>
      <c r="H597" s="370"/>
      <c r="I597" s="377"/>
      <c r="J597" s="359"/>
    </row>
    <row r="598" spans="1:10" x14ac:dyDescent="0.35">
      <c r="A598" s="299"/>
      <c r="B598" s="881"/>
      <c r="C598" s="130" t="s">
        <v>128</v>
      </c>
      <c r="D598" s="4">
        <v>0</v>
      </c>
      <c r="E598" s="5">
        <v>1</v>
      </c>
      <c r="F598" s="21">
        <v>0</v>
      </c>
      <c r="G598" s="5">
        <v>0</v>
      </c>
      <c r="H598" s="4">
        <v>0</v>
      </c>
      <c r="I598" s="372">
        <f t="shared" si="84"/>
        <v>0</v>
      </c>
      <c r="J598" s="359">
        <f t="shared" ref="J598" si="102">D598*E598*I598</f>
        <v>0</v>
      </c>
    </row>
    <row r="599" spans="1:10" x14ac:dyDescent="0.35">
      <c r="A599" s="299"/>
      <c r="B599" s="881"/>
      <c r="C599" s="124" t="s">
        <v>125</v>
      </c>
      <c r="D599" s="4"/>
      <c r="E599" s="5"/>
      <c r="F599" s="21"/>
      <c r="G599" s="5"/>
      <c r="H599" s="4"/>
      <c r="I599" s="372">
        <f t="shared" si="84"/>
        <v>0</v>
      </c>
      <c r="J599" s="359">
        <f t="shared" ref="J599:J602" si="103">D599*E599*I599</f>
        <v>0</v>
      </c>
    </row>
    <row r="600" spans="1:10" x14ac:dyDescent="0.35">
      <c r="A600" s="299"/>
      <c r="B600" s="881"/>
      <c r="C600" s="124" t="s">
        <v>125</v>
      </c>
      <c r="D600" s="4"/>
      <c r="E600" s="5"/>
      <c r="F600" s="21"/>
      <c r="G600" s="5"/>
      <c r="H600" s="4"/>
      <c r="I600" s="372">
        <f t="shared" si="84"/>
        <v>0</v>
      </c>
      <c r="J600" s="359">
        <f t="shared" ref="J600:J601" si="104">D600*E600*I600</f>
        <v>0</v>
      </c>
    </row>
    <row r="601" spans="1:10" x14ac:dyDescent="0.35">
      <c r="A601" s="299"/>
      <c r="B601" s="881"/>
      <c r="C601" s="124" t="s">
        <v>125</v>
      </c>
      <c r="D601" s="4"/>
      <c r="E601" s="5"/>
      <c r="F601" s="21"/>
      <c r="G601" s="5"/>
      <c r="H601" s="4"/>
      <c r="I601" s="372">
        <f t="shared" si="84"/>
        <v>0</v>
      </c>
      <c r="J601" s="359">
        <f t="shared" si="104"/>
        <v>0</v>
      </c>
    </row>
    <row r="602" spans="1:10" x14ac:dyDescent="0.35">
      <c r="A602" s="299"/>
      <c r="B602" s="881"/>
      <c r="C602" s="130"/>
      <c r="D602" s="4"/>
      <c r="E602" s="5"/>
      <c r="F602" s="21"/>
      <c r="G602" s="5"/>
      <c r="H602" s="4"/>
      <c r="I602" s="372">
        <f t="shared" si="84"/>
        <v>0</v>
      </c>
      <c r="J602" s="359">
        <f t="shared" si="103"/>
        <v>0</v>
      </c>
    </row>
    <row r="603" spans="1:10" x14ac:dyDescent="0.35">
      <c r="A603" s="299"/>
      <c r="B603" s="881"/>
      <c r="C603" s="130"/>
      <c r="D603" s="4"/>
      <c r="E603" s="5"/>
      <c r="F603" s="21"/>
      <c r="G603" s="5"/>
      <c r="H603" s="4"/>
      <c r="I603" s="372">
        <f t="shared" si="84"/>
        <v>0</v>
      </c>
      <c r="J603" s="359">
        <f t="shared" ref="J603" si="105">D603*E603*I603</f>
        <v>0</v>
      </c>
    </row>
    <row r="604" spans="1:10" x14ac:dyDescent="0.35">
      <c r="A604" s="299"/>
      <c r="B604" s="881"/>
      <c r="C604" s="130"/>
      <c r="D604" s="4"/>
      <c r="E604" s="5"/>
      <c r="F604" s="21"/>
      <c r="G604" s="5"/>
      <c r="H604" s="4"/>
      <c r="I604" s="372">
        <f t="shared" si="84"/>
        <v>0</v>
      </c>
      <c r="J604" s="359">
        <f t="shared" ref="J604:J605" si="106">D604*E604*I604</f>
        <v>0</v>
      </c>
    </row>
    <row r="605" spans="1:10" x14ac:dyDescent="0.35">
      <c r="A605" s="299"/>
      <c r="B605" s="881"/>
      <c r="C605" s="130"/>
      <c r="D605" s="4"/>
      <c r="E605" s="5"/>
      <c r="F605" s="21"/>
      <c r="G605" s="5"/>
      <c r="H605" s="4"/>
      <c r="I605" s="372">
        <f t="shared" si="84"/>
        <v>0</v>
      </c>
      <c r="J605" s="359">
        <f t="shared" si="106"/>
        <v>0</v>
      </c>
    </row>
    <row r="606" spans="1:10" x14ac:dyDescent="0.35">
      <c r="A606" s="299"/>
      <c r="B606" s="881"/>
      <c r="C606" s="360" t="str">
        <f>Language!A29</f>
        <v>Estación de transferencia y transporte</v>
      </c>
      <c r="D606" s="370"/>
      <c r="E606" s="355"/>
      <c r="F606" s="371"/>
      <c r="G606" s="370"/>
      <c r="H606" s="370"/>
      <c r="I606" s="377"/>
      <c r="J606" s="359"/>
    </row>
    <row r="607" spans="1:10" x14ac:dyDescent="0.35">
      <c r="A607" s="299"/>
      <c r="B607" s="881"/>
      <c r="C607" s="130" t="s">
        <v>723</v>
      </c>
      <c r="D607" s="4">
        <v>0</v>
      </c>
      <c r="E607" s="5">
        <v>1</v>
      </c>
      <c r="F607" s="21">
        <v>0</v>
      </c>
      <c r="G607" s="5">
        <v>0</v>
      </c>
      <c r="H607" s="4">
        <v>0</v>
      </c>
      <c r="I607" s="372">
        <f t="shared" si="84"/>
        <v>0</v>
      </c>
      <c r="J607" s="359">
        <f t="shared" ref="J607:J620" si="107">D607*E607*I607</f>
        <v>0</v>
      </c>
    </row>
    <row r="608" spans="1:10" x14ac:dyDescent="0.35">
      <c r="A608" s="299"/>
      <c r="B608" s="881"/>
      <c r="C608" s="130" t="s">
        <v>724</v>
      </c>
      <c r="D608" s="4"/>
      <c r="E608" s="5"/>
      <c r="F608" s="21"/>
      <c r="G608" s="5"/>
      <c r="H608" s="4"/>
      <c r="I608" s="372">
        <f t="shared" si="84"/>
        <v>0</v>
      </c>
      <c r="J608" s="359">
        <f t="shared" ref="J608:J609" si="108">D608*E608*I608</f>
        <v>0</v>
      </c>
    </row>
    <row r="609" spans="1:10" x14ac:dyDescent="0.35">
      <c r="A609" s="299"/>
      <c r="B609" s="881"/>
      <c r="C609" s="130" t="s">
        <v>725</v>
      </c>
      <c r="D609" s="4"/>
      <c r="E609" s="5"/>
      <c r="F609" s="21"/>
      <c r="G609" s="5"/>
      <c r="H609" s="4"/>
      <c r="I609" s="372">
        <f t="shared" si="84"/>
        <v>0</v>
      </c>
      <c r="J609" s="359">
        <f t="shared" si="108"/>
        <v>0</v>
      </c>
    </row>
    <row r="610" spans="1:10" x14ac:dyDescent="0.35">
      <c r="A610" s="299"/>
      <c r="B610" s="881"/>
      <c r="C610" s="130" t="s">
        <v>726</v>
      </c>
      <c r="D610" s="4"/>
      <c r="E610" s="5"/>
      <c r="F610" s="21"/>
      <c r="G610" s="5"/>
      <c r="H610" s="4"/>
      <c r="I610" s="372">
        <f t="shared" si="84"/>
        <v>0</v>
      </c>
      <c r="J610" s="359">
        <f t="shared" ref="J610" si="109">D610*E610*I610</f>
        <v>0</v>
      </c>
    </row>
    <row r="611" spans="1:10" x14ac:dyDescent="0.35">
      <c r="A611" s="299"/>
      <c r="B611" s="881"/>
      <c r="C611" s="130" t="s">
        <v>727</v>
      </c>
      <c r="D611" s="4"/>
      <c r="E611" s="5"/>
      <c r="F611" s="21"/>
      <c r="G611" s="5"/>
      <c r="H611" s="4"/>
      <c r="I611" s="372">
        <f t="shared" si="84"/>
        <v>0</v>
      </c>
      <c r="J611" s="359">
        <f t="shared" ref="J611" si="110">D611*E611*I611</f>
        <v>0</v>
      </c>
    </row>
    <row r="612" spans="1:10" x14ac:dyDescent="0.35">
      <c r="A612" s="299"/>
      <c r="B612" s="881"/>
      <c r="C612" s="130" t="s">
        <v>728</v>
      </c>
      <c r="D612" s="4"/>
      <c r="E612" s="5"/>
      <c r="F612" s="21"/>
      <c r="G612" s="5"/>
      <c r="H612" s="4"/>
      <c r="I612" s="372">
        <f t="shared" si="84"/>
        <v>0</v>
      </c>
      <c r="J612" s="359">
        <f>D612*E612*I612</f>
        <v>0</v>
      </c>
    </row>
    <row r="613" spans="1:10" x14ac:dyDescent="0.35">
      <c r="A613" s="299"/>
      <c r="B613" s="881"/>
      <c r="C613" s="130" t="s">
        <v>729</v>
      </c>
      <c r="D613" s="4"/>
      <c r="E613" s="5"/>
      <c r="F613" s="21"/>
      <c r="G613" s="5"/>
      <c r="H613" s="4"/>
      <c r="I613" s="372">
        <f t="shared" si="84"/>
        <v>0</v>
      </c>
      <c r="J613" s="359">
        <f t="shared" si="107"/>
        <v>0</v>
      </c>
    </row>
    <row r="614" spans="1:10" x14ac:dyDescent="0.35">
      <c r="A614" s="299"/>
      <c r="B614" s="881"/>
      <c r="C614" s="130" t="s">
        <v>733</v>
      </c>
      <c r="D614" s="6"/>
      <c r="E614" s="7"/>
      <c r="F614" s="47"/>
      <c r="G614" s="7"/>
      <c r="H614" s="6"/>
      <c r="I614" s="372">
        <f>IF(H614=0,0,IF(G614=0,E614*F614/H614,(F614*G614*((1+G614)^H614))/(((1+G614)^H614)-1)))</f>
        <v>0</v>
      </c>
      <c r="J614" s="359">
        <f>D614*E614*I614</f>
        <v>0</v>
      </c>
    </row>
    <row r="615" spans="1:10" x14ac:dyDescent="0.35">
      <c r="A615" s="299"/>
      <c r="B615" s="881"/>
      <c r="C615" s="130" t="s">
        <v>664</v>
      </c>
      <c r="D615" s="6"/>
      <c r="E615" s="7"/>
      <c r="F615" s="47"/>
      <c r="G615" s="7"/>
      <c r="H615" s="6"/>
      <c r="I615" s="372">
        <f t="shared" ref="I615:I619" si="111">IF(H615=0,0,IF(G615=0,E615*F615/H615,(F615*G615*((1+G615)^H615))/(((1+G615)^H615)-1)))</f>
        <v>0</v>
      </c>
      <c r="J615" s="359">
        <f t="shared" ref="J615:J618" si="112">D615*E615*I615</f>
        <v>0</v>
      </c>
    </row>
    <row r="616" spans="1:10" x14ac:dyDescent="0.35">
      <c r="A616" s="299"/>
      <c r="B616" s="881"/>
      <c r="C616" s="134" t="s">
        <v>734</v>
      </c>
      <c r="D616" s="6"/>
      <c r="E616" s="7"/>
      <c r="F616" s="47"/>
      <c r="G616" s="7"/>
      <c r="H616" s="6"/>
      <c r="I616" s="372">
        <f t="shared" si="111"/>
        <v>0</v>
      </c>
      <c r="J616" s="359">
        <f t="shared" si="112"/>
        <v>0</v>
      </c>
    </row>
    <row r="617" spans="1:10" x14ac:dyDescent="0.35">
      <c r="A617" s="299"/>
      <c r="B617" s="881"/>
      <c r="C617" s="130" t="s">
        <v>735</v>
      </c>
      <c r="D617" s="6"/>
      <c r="E617" s="7"/>
      <c r="F617" s="47"/>
      <c r="G617" s="7"/>
      <c r="H617" s="6"/>
      <c r="I617" s="372">
        <f t="shared" si="111"/>
        <v>0</v>
      </c>
      <c r="J617" s="359">
        <f t="shared" si="112"/>
        <v>0</v>
      </c>
    </row>
    <row r="618" spans="1:10" x14ac:dyDescent="0.35">
      <c r="A618" s="299"/>
      <c r="B618" s="881"/>
      <c r="C618" s="124" t="s">
        <v>125</v>
      </c>
      <c r="D618" s="6"/>
      <c r="E618" s="7"/>
      <c r="F618" s="47"/>
      <c r="G618" s="7"/>
      <c r="H618" s="6"/>
      <c r="I618" s="372">
        <f t="shared" si="111"/>
        <v>0</v>
      </c>
      <c r="J618" s="359">
        <f t="shared" si="112"/>
        <v>0</v>
      </c>
    </row>
    <row r="619" spans="1:10" x14ac:dyDescent="0.35">
      <c r="A619" s="299"/>
      <c r="B619" s="881"/>
      <c r="C619" s="124" t="s">
        <v>125</v>
      </c>
      <c r="D619" s="6"/>
      <c r="E619" s="7"/>
      <c r="F619" s="47"/>
      <c r="G619" s="7"/>
      <c r="H619" s="6"/>
      <c r="I619" s="372">
        <f t="shared" si="111"/>
        <v>0</v>
      </c>
      <c r="J619" s="359">
        <f>D619*E619*I619</f>
        <v>0</v>
      </c>
    </row>
    <row r="620" spans="1:10" x14ac:dyDescent="0.35">
      <c r="A620" s="299"/>
      <c r="B620" s="881"/>
      <c r="C620" s="124" t="s">
        <v>125</v>
      </c>
      <c r="D620" s="4"/>
      <c r="E620" s="5"/>
      <c r="F620" s="21"/>
      <c r="G620" s="5"/>
      <c r="H620" s="4"/>
      <c r="I620" s="372">
        <f t="shared" si="84"/>
        <v>0</v>
      </c>
      <c r="J620" s="359">
        <f t="shared" si="107"/>
        <v>0</v>
      </c>
    </row>
    <row r="621" spans="1:10" x14ac:dyDescent="0.35">
      <c r="A621" s="299"/>
      <c r="B621" s="881"/>
      <c r="C621" s="360" t="str">
        <f>Language!A30</f>
        <v>Disposición final</v>
      </c>
      <c r="D621" s="370"/>
      <c r="E621" s="355"/>
      <c r="F621" s="371"/>
      <c r="G621" s="370"/>
      <c r="H621" s="370"/>
      <c r="I621" s="377"/>
      <c r="J621" s="359"/>
    </row>
    <row r="622" spans="1:10" x14ac:dyDescent="0.35">
      <c r="A622" s="299"/>
      <c r="B622" s="881"/>
      <c r="C622" s="130" t="s">
        <v>736</v>
      </c>
      <c r="D622" s="4">
        <v>0</v>
      </c>
      <c r="E622" s="7">
        <v>1</v>
      </c>
      <c r="F622" s="40">
        <v>0</v>
      </c>
      <c r="G622" s="5">
        <v>0</v>
      </c>
      <c r="H622" s="4">
        <v>0</v>
      </c>
      <c r="I622" s="372">
        <f t="shared" si="84"/>
        <v>0</v>
      </c>
      <c r="J622" s="359">
        <f t="shared" ref="J622" si="113">D622*E622*I622</f>
        <v>0</v>
      </c>
    </row>
    <row r="623" spans="1:10" x14ac:dyDescent="0.35">
      <c r="A623" s="299"/>
      <c r="B623" s="881"/>
      <c r="C623" s="130" t="s">
        <v>737</v>
      </c>
      <c r="D623" s="6">
        <v>0</v>
      </c>
      <c r="E623" s="7">
        <v>1</v>
      </c>
      <c r="F623" s="21">
        <v>0</v>
      </c>
      <c r="G623" s="7">
        <v>0</v>
      </c>
      <c r="H623" s="6">
        <v>0</v>
      </c>
      <c r="I623" s="372">
        <f t="shared" si="84"/>
        <v>0</v>
      </c>
      <c r="J623" s="359">
        <f t="shared" ref="J623:J624" si="114">D623*E623*I623</f>
        <v>0</v>
      </c>
    </row>
    <row r="624" spans="1:10" x14ac:dyDescent="0.35">
      <c r="A624" s="299"/>
      <c r="B624" s="881"/>
      <c r="C624" s="130" t="s">
        <v>738</v>
      </c>
      <c r="D624" s="6"/>
      <c r="E624" s="7"/>
      <c r="F624" s="21"/>
      <c r="G624" s="7"/>
      <c r="H624" s="6"/>
      <c r="I624" s="372">
        <f t="shared" si="84"/>
        <v>0</v>
      </c>
      <c r="J624" s="359">
        <f t="shared" si="114"/>
        <v>0</v>
      </c>
    </row>
    <row r="625" spans="1:11" x14ac:dyDescent="0.35">
      <c r="A625" s="299"/>
      <c r="B625" s="881"/>
      <c r="C625" s="130" t="s">
        <v>739</v>
      </c>
      <c r="D625" s="6"/>
      <c r="E625" s="7"/>
      <c r="F625" s="21"/>
      <c r="G625" s="7"/>
      <c r="H625" s="6"/>
      <c r="I625" s="372">
        <f t="shared" si="84"/>
        <v>0</v>
      </c>
      <c r="J625" s="359">
        <f t="shared" ref="J625:J631" si="115">D625*E625*I625</f>
        <v>0</v>
      </c>
    </row>
    <row r="626" spans="1:11" x14ac:dyDescent="0.35">
      <c r="A626" s="299"/>
      <c r="B626" s="881"/>
      <c r="C626" s="130" t="s">
        <v>740</v>
      </c>
      <c r="D626" s="6"/>
      <c r="E626" s="7"/>
      <c r="F626" s="21"/>
      <c r="G626" s="7"/>
      <c r="H626" s="6"/>
      <c r="I626" s="372">
        <f t="shared" si="84"/>
        <v>0</v>
      </c>
      <c r="J626" s="359">
        <f t="shared" si="115"/>
        <v>0</v>
      </c>
    </row>
    <row r="627" spans="1:11" x14ac:dyDescent="0.35">
      <c r="A627" s="299"/>
      <c r="B627" s="881"/>
      <c r="C627" s="130" t="s">
        <v>741</v>
      </c>
      <c r="D627" s="6"/>
      <c r="E627" s="7"/>
      <c r="F627" s="21"/>
      <c r="G627" s="7"/>
      <c r="H627" s="6"/>
      <c r="I627" s="372">
        <f t="shared" si="84"/>
        <v>0</v>
      </c>
      <c r="J627" s="359">
        <f t="shared" si="115"/>
        <v>0</v>
      </c>
    </row>
    <row r="628" spans="1:11" ht="29" x14ac:dyDescent="0.35">
      <c r="A628" s="299"/>
      <c r="B628" s="881"/>
      <c r="C628" s="135" t="s">
        <v>742</v>
      </c>
      <c r="D628" s="6"/>
      <c r="E628" s="7"/>
      <c r="F628" s="21"/>
      <c r="G628" s="7"/>
      <c r="H628" s="6"/>
      <c r="I628" s="372">
        <f t="shared" ref="I628:I631" si="116">IF(H628=0,0,IF(G628=0,E628*F628/H628,(F628*G628*((1+G628)^H628))/(((1+G628)^H628)-1)))</f>
        <v>0</v>
      </c>
      <c r="J628" s="359">
        <f t="shared" si="115"/>
        <v>0</v>
      </c>
    </row>
    <row r="629" spans="1:11" x14ac:dyDescent="0.35">
      <c r="A629" s="299"/>
      <c r="B629" s="881"/>
      <c r="C629" s="124" t="s">
        <v>125</v>
      </c>
      <c r="D629" s="6"/>
      <c r="E629" s="7"/>
      <c r="F629" s="288"/>
      <c r="G629" s="7"/>
      <c r="H629" s="6"/>
      <c r="I629" s="372">
        <f t="shared" si="116"/>
        <v>0</v>
      </c>
      <c r="J629" s="359">
        <f t="shared" si="115"/>
        <v>0</v>
      </c>
    </row>
    <row r="630" spans="1:11" x14ac:dyDescent="0.35">
      <c r="A630" s="299"/>
      <c r="B630" s="881"/>
      <c r="C630" s="124" t="s">
        <v>125</v>
      </c>
      <c r="D630" s="6"/>
      <c r="E630" s="7"/>
      <c r="F630" s="288"/>
      <c r="G630" s="7"/>
      <c r="H630" s="6"/>
      <c r="I630" s="372">
        <f t="shared" si="116"/>
        <v>0</v>
      </c>
      <c r="J630" s="359">
        <f t="shared" si="115"/>
        <v>0</v>
      </c>
    </row>
    <row r="631" spans="1:11" ht="15" thickBot="1" x14ac:dyDescent="0.4">
      <c r="A631" s="299"/>
      <c r="B631" s="881"/>
      <c r="C631" s="132" t="s">
        <v>125</v>
      </c>
      <c r="D631" s="113"/>
      <c r="E631" s="114"/>
      <c r="F631" s="116"/>
      <c r="G631" s="114"/>
      <c r="H631" s="113"/>
      <c r="I631" s="373">
        <f t="shared" si="116"/>
        <v>0</v>
      </c>
      <c r="J631" s="374">
        <f t="shared" si="115"/>
        <v>0</v>
      </c>
    </row>
    <row r="632" spans="1:11" ht="29" thickBot="1" x14ac:dyDescent="0.4">
      <c r="A632" s="299"/>
      <c r="B632" s="881"/>
      <c r="C632" s="891" t="str">
        <f>Language!A40</f>
        <v>Operación y mantenimiento</v>
      </c>
      <c r="D632" s="892"/>
      <c r="E632" s="892"/>
      <c r="F632" s="892"/>
      <c r="G632" s="892"/>
      <c r="H632" s="892"/>
      <c r="I632" s="892"/>
      <c r="J632" s="893"/>
      <c r="K632" s="343"/>
    </row>
    <row r="633" spans="1:11" ht="43.5" x14ac:dyDescent="0.35">
      <c r="A633" s="299"/>
      <c r="B633" s="881"/>
      <c r="C633" s="344" t="s">
        <v>589</v>
      </c>
      <c r="D633" s="367" t="str">
        <f>Language!A33</f>
        <v>Cantidad []</v>
      </c>
      <c r="E633" s="376" t="str">
        <f>Language!A20</f>
        <v>Dedicación a la prestación del servicio de gestión de los residuos sólidos [%]</v>
      </c>
      <c r="F633" s="382" t="str">
        <f>Language!A34</f>
        <v>Costo unitario [$$$]</v>
      </c>
      <c r="G633" s="383" t="s">
        <v>301</v>
      </c>
      <c r="H633" s="384" t="s">
        <v>302</v>
      </c>
      <c r="I633" s="385" t="s">
        <v>303</v>
      </c>
      <c r="J633" s="380" t="s">
        <v>304</v>
      </c>
      <c r="K633" s="381"/>
    </row>
    <row r="634" spans="1:11" x14ac:dyDescent="0.35">
      <c r="A634" s="299"/>
      <c r="B634" s="881"/>
      <c r="C634" s="386" t="str">
        <f>Language!A24</f>
        <v>Barrido de vías y áreas públicas</v>
      </c>
      <c r="D634" s="370"/>
      <c r="E634" s="355"/>
      <c r="F634" s="371"/>
      <c r="G634" s="370"/>
      <c r="H634" s="370"/>
      <c r="I634" s="377"/>
      <c r="J634" s="359"/>
    </row>
    <row r="635" spans="1:11" x14ac:dyDescent="0.35">
      <c r="A635" s="299"/>
      <c r="B635" s="881"/>
      <c r="C635" s="130" t="s">
        <v>148</v>
      </c>
      <c r="D635" s="38">
        <v>0</v>
      </c>
      <c r="E635" s="5">
        <v>1</v>
      </c>
      <c r="F635" s="21">
        <v>0</v>
      </c>
      <c r="G635" s="387"/>
      <c r="H635" s="358"/>
      <c r="I635" s="388"/>
      <c r="J635" s="359">
        <f t="shared" ref="J635:J649" si="117">D635*E635*F635</f>
        <v>0</v>
      </c>
    </row>
    <row r="636" spans="1:11" x14ac:dyDescent="0.35">
      <c r="A636" s="299"/>
      <c r="B636" s="881"/>
      <c r="C636" s="130" t="s">
        <v>149</v>
      </c>
      <c r="D636" s="4">
        <v>0</v>
      </c>
      <c r="E636" s="5">
        <v>1</v>
      </c>
      <c r="F636" s="21">
        <v>0</v>
      </c>
      <c r="G636" s="387"/>
      <c r="H636" s="358"/>
      <c r="I636" s="388"/>
      <c r="J636" s="359">
        <f t="shared" ref="J636:J639" si="118">D636*E636*F636</f>
        <v>0</v>
      </c>
    </row>
    <row r="637" spans="1:11" x14ac:dyDescent="0.35">
      <c r="A637" s="299"/>
      <c r="B637" s="881"/>
      <c r="C637" s="130" t="s">
        <v>141</v>
      </c>
      <c r="D637" s="38">
        <v>0</v>
      </c>
      <c r="E637" s="5">
        <v>1</v>
      </c>
      <c r="F637" s="21">
        <v>0</v>
      </c>
      <c r="G637" s="387"/>
      <c r="H637" s="358"/>
      <c r="I637" s="388"/>
      <c r="J637" s="359">
        <f t="shared" si="118"/>
        <v>0</v>
      </c>
    </row>
    <row r="638" spans="1:11" x14ac:dyDescent="0.35">
      <c r="A638" s="299"/>
      <c r="B638" s="881"/>
      <c r="C638" s="124" t="s">
        <v>125</v>
      </c>
      <c r="D638" s="4">
        <v>0</v>
      </c>
      <c r="E638" s="5">
        <v>1</v>
      </c>
      <c r="F638" s="21">
        <v>0</v>
      </c>
      <c r="G638" s="387"/>
      <c r="H638" s="358"/>
      <c r="I638" s="388"/>
      <c r="J638" s="359">
        <f t="shared" si="118"/>
        <v>0</v>
      </c>
    </row>
    <row r="639" spans="1:11" x14ac:dyDescent="0.35">
      <c r="A639" s="299"/>
      <c r="B639" s="881"/>
      <c r="C639" s="124" t="s">
        <v>125</v>
      </c>
      <c r="D639" s="4">
        <v>0</v>
      </c>
      <c r="E639" s="5">
        <v>1</v>
      </c>
      <c r="F639" s="21">
        <v>0</v>
      </c>
      <c r="G639" s="387"/>
      <c r="H639" s="358"/>
      <c r="I639" s="388"/>
      <c r="J639" s="359">
        <f t="shared" si="118"/>
        <v>0</v>
      </c>
    </row>
    <row r="640" spans="1:11" x14ac:dyDescent="0.35">
      <c r="A640" s="299"/>
      <c r="B640" s="881"/>
      <c r="C640" s="124" t="s">
        <v>125</v>
      </c>
      <c r="D640" s="4">
        <v>0</v>
      </c>
      <c r="E640" s="5">
        <v>1</v>
      </c>
      <c r="F640" s="21">
        <v>0</v>
      </c>
      <c r="G640" s="387"/>
      <c r="H640" s="358"/>
      <c r="I640" s="388"/>
      <c r="J640" s="359">
        <f>D640*E640*F640</f>
        <v>0</v>
      </c>
    </row>
    <row r="641" spans="1:10" x14ac:dyDescent="0.35">
      <c r="A641" s="299"/>
      <c r="B641" s="881"/>
      <c r="C641" s="130"/>
      <c r="D641" s="4">
        <v>0</v>
      </c>
      <c r="E641" s="5">
        <v>1</v>
      </c>
      <c r="F641" s="21">
        <v>0</v>
      </c>
      <c r="G641" s="387"/>
      <c r="H641" s="358"/>
      <c r="I641" s="388"/>
      <c r="J641" s="359">
        <f t="shared" ref="J641:J644" si="119">D641*E641*F641</f>
        <v>0</v>
      </c>
    </row>
    <row r="642" spans="1:10" x14ac:dyDescent="0.35">
      <c r="A642" s="299"/>
      <c r="B642" s="881"/>
      <c r="C642" s="130"/>
      <c r="D642" s="4"/>
      <c r="E642" s="5"/>
      <c r="F642" s="21"/>
      <c r="G642" s="387"/>
      <c r="H642" s="358"/>
      <c r="I642" s="388"/>
      <c r="J642" s="359">
        <f t="shared" si="119"/>
        <v>0</v>
      </c>
    </row>
    <row r="643" spans="1:10" x14ac:dyDescent="0.35">
      <c r="A643" s="299"/>
      <c r="B643" s="881"/>
      <c r="C643" s="130"/>
      <c r="D643" s="4"/>
      <c r="E643" s="5"/>
      <c r="F643" s="21"/>
      <c r="G643" s="387"/>
      <c r="H643" s="358"/>
      <c r="I643" s="388"/>
      <c r="J643" s="359">
        <f t="shared" si="119"/>
        <v>0</v>
      </c>
    </row>
    <row r="644" spans="1:10" x14ac:dyDescent="0.35">
      <c r="A644" s="299"/>
      <c r="B644" s="881"/>
      <c r="C644" s="130"/>
      <c r="D644" s="4"/>
      <c r="E644" s="5"/>
      <c r="F644" s="21"/>
      <c r="G644" s="387"/>
      <c r="H644" s="358"/>
      <c r="I644" s="388"/>
      <c r="J644" s="359">
        <f t="shared" si="119"/>
        <v>0</v>
      </c>
    </row>
    <row r="645" spans="1:10" x14ac:dyDescent="0.35">
      <c r="A645" s="299"/>
      <c r="B645" s="881"/>
      <c r="C645" s="130"/>
      <c r="D645" s="4"/>
      <c r="E645" s="5"/>
      <c r="F645" s="21"/>
      <c r="G645" s="387"/>
      <c r="H645" s="358"/>
      <c r="I645" s="388"/>
      <c r="J645" s="359">
        <f t="shared" si="117"/>
        <v>0</v>
      </c>
    </row>
    <row r="646" spans="1:10" x14ac:dyDescent="0.35">
      <c r="A646" s="299"/>
      <c r="B646" s="881"/>
      <c r="C646" s="130"/>
      <c r="D646" s="38"/>
      <c r="E646" s="5"/>
      <c r="F646" s="21"/>
      <c r="G646" s="387"/>
      <c r="H646" s="358"/>
      <c r="I646" s="388"/>
      <c r="J646" s="359">
        <f t="shared" si="117"/>
        <v>0</v>
      </c>
    </row>
    <row r="647" spans="1:10" x14ac:dyDescent="0.35">
      <c r="A647" s="299"/>
      <c r="B647" s="881"/>
      <c r="C647" s="130"/>
      <c r="D647" s="4"/>
      <c r="E647" s="5"/>
      <c r="F647" s="21"/>
      <c r="G647" s="387"/>
      <c r="H647" s="358"/>
      <c r="I647" s="388"/>
      <c r="J647" s="359">
        <f t="shared" si="117"/>
        <v>0</v>
      </c>
    </row>
    <row r="648" spans="1:10" x14ac:dyDescent="0.35">
      <c r="A648" s="299"/>
      <c r="B648" s="881"/>
      <c r="C648" s="130"/>
      <c r="D648" s="4"/>
      <c r="E648" s="5"/>
      <c r="F648" s="21"/>
      <c r="G648" s="387"/>
      <c r="H648" s="358"/>
      <c r="I648" s="388"/>
      <c r="J648" s="359">
        <f t="shared" si="117"/>
        <v>0</v>
      </c>
    </row>
    <row r="649" spans="1:10" x14ac:dyDescent="0.35">
      <c r="A649" s="299"/>
      <c r="B649" s="881"/>
      <c r="C649" s="130"/>
      <c r="D649" s="4"/>
      <c r="E649" s="5"/>
      <c r="F649" s="21"/>
      <c r="G649" s="387"/>
      <c r="H649" s="358"/>
      <c r="I649" s="388"/>
      <c r="J649" s="359">
        <f t="shared" si="117"/>
        <v>0</v>
      </c>
    </row>
    <row r="650" spans="1:10" x14ac:dyDescent="0.35">
      <c r="A650" s="299"/>
      <c r="B650" s="881"/>
      <c r="C650" s="386" t="str">
        <f>Language!A25</f>
        <v>Taller de mantenimiento</v>
      </c>
      <c r="D650" s="370"/>
      <c r="E650" s="355"/>
      <c r="F650" s="371"/>
      <c r="G650" s="370"/>
      <c r="H650" s="370"/>
      <c r="I650" s="377"/>
      <c r="J650" s="359"/>
    </row>
    <row r="651" spans="1:10" x14ac:dyDescent="0.35">
      <c r="A651" s="299"/>
      <c r="B651" s="881"/>
      <c r="C651" s="130" t="s">
        <v>133</v>
      </c>
      <c r="D651" s="4">
        <v>0</v>
      </c>
      <c r="E651" s="5">
        <v>1</v>
      </c>
      <c r="F651" s="21">
        <v>0</v>
      </c>
      <c r="G651" s="387"/>
      <c r="H651" s="358"/>
      <c r="I651" s="388"/>
      <c r="J651" s="359">
        <f t="shared" ref="J651:J665" si="120">D651*E651*F651</f>
        <v>0</v>
      </c>
    </row>
    <row r="652" spans="1:10" x14ac:dyDescent="0.35">
      <c r="A652" s="299"/>
      <c r="B652" s="881"/>
      <c r="C652" s="130" t="s">
        <v>743</v>
      </c>
      <c r="D652" s="4"/>
      <c r="E652" s="5"/>
      <c r="F652" s="21"/>
      <c r="G652" s="387"/>
      <c r="H652" s="358"/>
      <c r="I652" s="388"/>
      <c r="J652" s="359">
        <f t="shared" si="120"/>
        <v>0</v>
      </c>
    </row>
    <row r="653" spans="1:10" x14ac:dyDescent="0.35">
      <c r="A653" s="299"/>
      <c r="B653" s="881"/>
      <c r="C653" s="130" t="s">
        <v>744</v>
      </c>
      <c r="D653" s="4"/>
      <c r="E653" s="5"/>
      <c r="F653" s="21"/>
      <c r="G653" s="387"/>
      <c r="H653" s="358"/>
      <c r="I653" s="388"/>
      <c r="J653" s="359">
        <f t="shared" ref="J653:J658" si="121">D653*E653*F653</f>
        <v>0</v>
      </c>
    </row>
    <row r="654" spans="1:10" x14ac:dyDescent="0.35">
      <c r="A654" s="299"/>
      <c r="B654" s="881"/>
      <c r="C654" s="130" t="s">
        <v>745</v>
      </c>
      <c r="D654" s="4"/>
      <c r="E654" s="5"/>
      <c r="F654" s="21"/>
      <c r="G654" s="387"/>
      <c r="H654" s="358"/>
      <c r="I654" s="388"/>
      <c r="J654" s="359">
        <f t="shared" si="121"/>
        <v>0</v>
      </c>
    </row>
    <row r="655" spans="1:10" x14ac:dyDescent="0.35">
      <c r="A655" s="299"/>
      <c r="B655" s="881"/>
      <c r="C655" s="124" t="s">
        <v>125</v>
      </c>
      <c r="D655" s="4"/>
      <c r="E655" s="5"/>
      <c r="F655" s="21"/>
      <c r="G655" s="387"/>
      <c r="H655" s="358"/>
      <c r="I655" s="388"/>
      <c r="J655" s="359">
        <f t="shared" ref="J655:J656" si="122">D655*E655*F655</f>
        <v>0</v>
      </c>
    </row>
    <row r="656" spans="1:10" x14ac:dyDescent="0.35">
      <c r="A656" s="299"/>
      <c r="B656" s="881"/>
      <c r="C656" s="124" t="s">
        <v>125</v>
      </c>
      <c r="D656" s="4"/>
      <c r="E656" s="5"/>
      <c r="F656" s="21"/>
      <c r="G656" s="387"/>
      <c r="H656" s="358"/>
      <c r="I656" s="388"/>
      <c r="J656" s="359">
        <f t="shared" si="122"/>
        <v>0</v>
      </c>
    </row>
    <row r="657" spans="1:10" x14ac:dyDescent="0.35">
      <c r="A657" s="299"/>
      <c r="B657" s="881"/>
      <c r="C657" s="124" t="s">
        <v>125</v>
      </c>
      <c r="D657" s="4"/>
      <c r="E657" s="5"/>
      <c r="F657" s="21"/>
      <c r="G657" s="387"/>
      <c r="H657" s="358"/>
      <c r="I657" s="388"/>
      <c r="J657" s="359">
        <f t="shared" si="121"/>
        <v>0</v>
      </c>
    </row>
    <row r="658" spans="1:10" x14ac:dyDescent="0.35">
      <c r="A658" s="299"/>
      <c r="B658" s="881"/>
      <c r="C658" s="130"/>
      <c r="D658" s="4"/>
      <c r="E658" s="5"/>
      <c r="F658" s="21"/>
      <c r="G658" s="387"/>
      <c r="H658" s="358"/>
      <c r="I658" s="388"/>
      <c r="J658" s="359">
        <f t="shared" si="121"/>
        <v>0</v>
      </c>
    </row>
    <row r="659" spans="1:10" x14ac:dyDescent="0.35">
      <c r="A659" s="299"/>
      <c r="B659" s="881"/>
      <c r="C659" s="130"/>
      <c r="D659" s="4"/>
      <c r="E659" s="5"/>
      <c r="F659" s="21"/>
      <c r="G659" s="387"/>
      <c r="H659" s="358"/>
      <c r="I659" s="388"/>
      <c r="J659" s="359">
        <f t="shared" ref="J659:J660" si="123">D659*E659*F659</f>
        <v>0</v>
      </c>
    </row>
    <row r="660" spans="1:10" x14ac:dyDescent="0.35">
      <c r="A660" s="299"/>
      <c r="B660" s="881"/>
      <c r="C660" s="130"/>
      <c r="D660" s="4"/>
      <c r="E660" s="5"/>
      <c r="F660" s="21"/>
      <c r="G660" s="387"/>
      <c r="H660" s="358"/>
      <c r="I660" s="388"/>
      <c r="J660" s="359">
        <f t="shared" si="123"/>
        <v>0</v>
      </c>
    </row>
    <row r="661" spans="1:10" x14ac:dyDescent="0.35">
      <c r="A661" s="299"/>
      <c r="B661" s="881"/>
      <c r="C661" s="130"/>
      <c r="D661" s="4"/>
      <c r="E661" s="5"/>
      <c r="F661" s="21"/>
      <c r="G661" s="387"/>
      <c r="H661" s="358"/>
      <c r="I661" s="388"/>
      <c r="J661" s="359">
        <f t="shared" ref="J661:J662" si="124">D661*E661*F661</f>
        <v>0</v>
      </c>
    </row>
    <row r="662" spans="1:10" x14ac:dyDescent="0.35">
      <c r="A662" s="299"/>
      <c r="B662" s="881"/>
      <c r="C662" s="130"/>
      <c r="D662" s="4"/>
      <c r="E662" s="5"/>
      <c r="F662" s="21"/>
      <c r="G662" s="387"/>
      <c r="H662" s="358"/>
      <c r="I662" s="388"/>
      <c r="J662" s="359">
        <f t="shared" si="124"/>
        <v>0</v>
      </c>
    </row>
    <row r="663" spans="1:10" x14ac:dyDescent="0.35">
      <c r="A663" s="299"/>
      <c r="B663" s="881"/>
      <c r="C663" s="130"/>
      <c r="D663" s="4"/>
      <c r="E663" s="5"/>
      <c r="F663" s="21"/>
      <c r="G663" s="387"/>
      <c r="H663" s="358"/>
      <c r="I663" s="388"/>
      <c r="J663" s="359">
        <f>D663*E663*F663</f>
        <v>0</v>
      </c>
    </row>
    <row r="664" spans="1:10" x14ac:dyDescent="0.35">
      <c r="A664" s="299"/>
      <c r="B664" s="881"/>
      <c r="C664" s="130" t="s">
        <v>125</v>
      </c>
      <c r="D664" s="4">
        <v>0</v>
      </c>
      <c r="E664" s="5">
        <v>0</v>
      </c>
      <c r="F664" s="21">
        <v>0</v>
      </c>
      <c r="G664" s="387"/>
      <c r="H664" s="358"/>
      <c r="I664" s="388"/>
      <c r="J664" s="359">
        <f t="shared" si="120"/>
        <v>0</v>
      </c>
    </row>
    <row r="665" spans="1:10" x14ac:dyDescent="0.35">
      <c r="A665" s="299"/>
      <c r="B665" s="881"/>
      <c r="C665" s="130" t="s">
        <v>125</v>
      </c>
      <c r="D665" s="4">
        <v>0</v>
      </c>
      <c r="E665" s="5">
        <v>0</v>
      </c>
      <c r="F665" s="21">
        <v>0</v>
      </c>
      <c r="G665" s="387"/>
      <c r="H665" s="358"/>
      <c r="I665" s="388"/>
      <c r="J665" s="359">
        <f t="shared" si="120"/>
        <v>0</v>
      </c>
    </row>
    <row r="666" spans="1:10" x14ac:dyDescent="0.35">
      <c r="A666" s="299"/>
      <c r="B666" s="881"/>
      <c r="C666" s="386" t="str">
        <f>Language!A26</f>
        <v>Servicio de recolección</v>
      </c>
      <c r="D666" s="370"/>
      <c r="E666" s="355"/>
      <c r="F666" s="371"/>
      <c r="G666" s="370"/>
      <c r="H666" s="370"/>
      <c r="I666" s="377"/>
      <c r="J666" s="359"/>
    </row>
    <row r="667" spans="1:10" x14ac:dyDescent="0.35">
      <c r="A667" s="299"/>
      <c r="B667" s="881"/>
      <c r="C667" s="130" t="s">
        <v>148</v>
      </c>
      <c r="D667" s="4">
        <v>0</v>
      </c>
      <c r="E667" s="5">
        <v>1</v>
      </c>
      <c r="F667" s="21">
        <v>0</v>
      </c>
      <c r="G667" s="387"/>
      <c r="H667" s="358"/>
      <c r="I667" s="388"/>
      <c r="J667" s="359">
        <f>D667*E667*F667</f>
        <v>0</v>
      </c>
    </row>
    <row r="668" spans="1:10" x14ac:dyDescent="0.35">
      <c r="A668" s="299"/>
      <c r="B668" s="881"/>
      <c r="C668" s="130" t="s">
        <v>502</v>
      </c>
      <c r="D668" s="4">
        <v>0</v>
      </c>
      <c r="E668" s="5">
        <v>1</v>
      </c>
      <c r="F668" s="21">
        <v>0</v>
      </c>
      <c r="G668" s="387"/>
      <c r="H668" s="358"/>
      <c r="I668" s="388"/>
      <c r="J668" s="359">
        <f t="shared" ref="J668:J676" si="125">D668*E668*F668</f>
        <v>0</v>
      </c>
    </row>
    <row r="669" spans="1:10" x14ac:dyDescent="0.35">
      <c r="A669" s="299"/>
      <c r="B669" s="881"/>
      <c r="C669" s="130" t="s">
        <v>141</v>
      </c>
      <c r="D669" s="38">
        <v>0</v>
      </c>
      <c r="E669" s="5">
        <v>1</v>
      </c>
      <c r="F669" s="21">
        <v>0</v>
      </c>
      <c r="G669" s="387"/>
      <c r="H669" s="358"/>
      <c r="I669" s="388"/>
      <c r="J669" s="359">
        <f t="shared" ref="J669:J672" si="126">D669*E669*F669</f>
        <v>0</v>
      </c>
    </row>
    <row r="670" spans="1:10" x14ac:dyDescent="0.35">
      <c r="A670" s="299"/>
      <c r="B670" s="881"/>
      <c r="C670" s="124" t="s">
        <v>125</v>
      </c>
      <c r="D670" s="4">
        <v>0</v>
      </c>
      <c r="E670" s="5">
        <v>1</v>
      </c>
      <c r="F670" s="21">
        <v>0</v>
      </c>
      <c r="G670" s="387"/>
      <c r="H670" s="358"/>
      <c r="I670" s="388"/>
      <c r="J670" s="359">
        <f t="shared" si="126"/>
        <v>0</v>
      </c>
    </row>
    <row r="671" spans="1:10" x14ac:dyDescent="0.35">
      <c r="A671" s="299"/>
      <c r="B671" s="881"/>
      <c r="C671" s="124" t="s">
        <v>125</v>
      </c>
      <c r="D671" s="4">
        <v>0</v>
      </c>
      <c r="E671" s="5">
        <v>1</v>
      </c>
      <c r="F671" s="21">
        <v>0</v>
      </c>
      <c r="G671" s="387"/>
      <c r="H671" s="358"/>
      <c r="I671" s="388"/>
      <c r="J671" s="359">
        <f t="shared" si="126"/>
        <v>0</v>
      </c>
    </row>
    <row r="672" spans="1:10" x14ac:dyDescent="0.35">
      <c r="A672" s="299"/>
      <c r="B672" s="881"/>
      <c r="C672" s="124" t="s">
        <v>125</v>
      </c>
      <c r="D672" s="4"/>
      <c r="E672" s="5"/>
      <c r="F672" s="21"/>
      <c r="G672" s="387"/>
      <c r="H672" s="358"/>
      <c r="I672" s="388"/>
      <c r="J672" s="359">
        <f t="shared" si="126"/>
        <v>0</v>
      </c>
    </row>
    <row r="673" spans="1:10" x14ac:dyDescent="0.35">
      <c r="A673" s="299"/>
      <c r="B673" s="881"/>
      <c r="C673" s="130"/>
      <c r="D673" s="4"/>
      <c r="E673" s="5"/>
      <c r="F673" s="21"/>
      <c r="G673" s="387"/>
      <c r="H673" s="358"/>
      <c r="I673" s="388"/>
      <c r="J673" s="359">
        <f t="shared" ref="J673:J675" si="127">D673*E673*F673</f>
        <v>0</v>
      </c>
    </row>
    <row r="674" spans="1:10" x14ac:dyDescent="0.35">
      <c r="A674" s="299"/>
      <c r="B674" s="881"/>
      <c r="C674" s="130"/>
      <c r="D674" s="4"/>
      <c r="E674" s="5"/>
      <c r="F674" s="21"/>
      <c r="G674" s="387"/>
      <c r="H674" s="358"/>
      <c r="I674" s="388"/>
      <c r="J674" s="359">
        <f t="shared" si="127"/>
        <v>0</v>
      </c>
    </row>
    <row r="675" spans="1:10" x14ac:dyDescent="0.35">
      <c r="A675" s="299"/>
      <c r="B675" s="881"/>
      <c r="C675" s="130"/>
      <c r="D675" s="4"/>
      <c r="E675" s="5"/>
      <c r="F675" s="21"/>
      <c r="G675" s="387"/>
      <c r="H675" s="358"/>
      <c r="I675" s="388"/>
      <c r="J675" s="359">
        <f t="shared" si="127"/>
        <v>0</v>
      </c>
    </row>
    <row r="676" spans="1:10" x14ac:dyDescent="0.35">
      <c r="A676" s="299"/>
      <c r="B676" s="881"/>
      <c r="C676" s="130"/>
      <c r="D676" s="4"/>
      <c r="E676" s="5"/>
      <c r="F676" s="21"/>
      <c r="G676" s="387"/>
      <c r="H676" s="358"/>
      <c r="I676" s="388"/>
      <c r="J676" s="359">
        <f t="shared" si="125"/>
        <v>0</v>
      </c>
    </row>
    <row r="677" spans="1:10" x14ac:dyDescent="0.35">
      <c r="A677" s="299"/>
      <c r="B677" s="881"/>
      <c r="C677" s="130"/>
      <c r="D677" s="4"/>
      <c r="E677" s="5"/>
      <c r="F677" s="21"/>
      <c r="G677" s="387"/>
      <c r="H677" s="358"/>
      <c r="I677" s="388"/>
      <c r="J677" s="359">
        <f t="shared" ref="J677:J678" si="128">D677*E677*F677</f>
        <v>0</v>
      </c>
    </row>
    <row r="678" spans="1:10" x14ac:dyDescent="0.35">
      <c r="A678" s="299"/>
      <c r="B678" s="881"/>
      <c r="C678" s="130"/>
      <c r="D678" s="4"/>
      <c r="E678" s="5"/>
      <c r="F678" s="21"/>
      <c r="G678" s="387"/>
      <c r="H678" s="358"/>
      <c r="I678" s="388"/>
      <c r="J678" s="359">
        <f t="shared" si="128"/>
        <v>0</v>
      </c>
    </row>
    <row r="679" spans="1:10" x14ac:dyDescent="0.35">
      <c r="A679" s="299"/>
      <c r="B679" s="881"/>
      <c r="C679" s="130"/>
      <c r="D679" s="4"/>
      <c r="E679" s="5"/>
      <c r="F679" s="21"/>
      <c r="G679" s="387"/>
      <c r="H679" s="358"/>
      <c r="I679" s="388"/>
      <c r="J679" s="359">
        <f>D679*E679*F679</f>
        <v>0</v>
      </c>
    </row>
    <row r="680" spans="1:10" x14ac:dyDescent="0.35">
      <c r="A680" s="299"/>
      <c r="B680" s="881"/>
      <c r="C680" s="130"/>
      <c r="D680" s="38"/>
      <c r="E680" s="5"/>
      <c r="F680" s="136"/>
      <c r="G680" s="387"/>
      <c r="H680" s="358"/>
      <c r="I680" s="388"/>
      <c r="J680" s="359">
        <f>D680*E680*F680</f>
        <v>0</v>
      </c>
    </row>
    <row r="681" spans="1:10" x14ac:dyDescent="0.35">
      <c r="A681" s="299"/>
      <c r="B681" s="881"/>
      <c r="C681" s="130"/>
      <c r="D681" s="4"/>
      <c r="E681" s="5"/>
      <c r="F681" s="4"/>
      <c r="G681" s="387"/>
      <c r="H681" s="358"/>
      <c r="I681" s="388"/>
      <c r="J681" s="359">
        <f>D681*E681*F681</f>
        <v>0</v>
      </c>
    </row>
    <row r="682" spans="1:10" x14ac:dyDescent="0.35">
      <c r="A682" s="299"/>
      <c r="B682" s="881"/>
      <c r="C682" s="360" t="str">
        <f>Language!A27</f>
        <v>Planta de reciclaje</v>
      </c>
      <c r="D682" s="355"/>
      <c r="E682" s="355"/>
      <c r="F682" s="361"/>
      <c r="G682" s="355"/>
      <c r="H682" s="355"/>
      <c r="I682" s="389"/>
      <c r="J682" s="359"/>
    </row>
    <row r="683" spans="1:10" x14ac:dyDescent="0.35">
      <c r="A683" s="299"/>
      <c r="B683" s="881"/>
      <c r="C683" s="130" t="s">
        <v>133</v>
      </c>
      <c r="D683" s="4">
        <v>0</v>
      </c>
      <c r="E683" s="5">
        <v>1</v>
      </c>
      <c r="F683" s="21">
        <v>0</v>
      </c>
      <c r="G683" s="387"/>
      <c r="H683" s="358"/>
      <c r="I683" s="388"/>
      <c r="J683" s="359">
        <f>D683*E683*F683</f>
        <v>0</v>
      </c>
    </row>
    <row r="684" spans="1:10" x14ac:dyDescent="0.35">
      <c r="A684" s="299"/>
      <c r="B684" s="881"/>
      <c r="C684" s="130" t="s">
        <v>151</v>
      </c>
      <c r="D684" s="4">
        <v>0</v>
      </c>
      <c r="E684" s="5">
        <v>1</v>
      </c>
      <c r="F684" s="21">
        <v>0</v>
      </c>
      <c r="G684" s="387"/>
      <c r="H684" s="358"/>
      <c r="I684" s="388"/>
      <c r="J684" s="359">
        <f t="shared" ref="J684:J686" si="129">D684*E684*F684</f>
        <v>0</v>
      </c>
    </row>
    <row r="685" spans="1:10" x14ac:dyDescent="0.35">
      <c r="A685" s="299"/>
      <c r="B685" s="881"/>
      <c r="C685" s="130" t="s">
        <v>213</v>
      </c>
      <c r="D685" s="4">
        <v>0</v>
      </c>
      <c r="E685" s="5">
        <v>1</v>
      </c>
      <c r="F685" s="21">
        <v>0</v>
      </c>
      <c r="G685" s="387"/>
      <c r="H685" s="358"/>
      <c r="I685" s="388"/>
      <c r="J685" s="359">
        <f t="shared" si="129"/>
        <v>0</v>
      </c>
    </row>
    <row r="686" spans="1:10" x14ac:dyDescent="0.35">
      <c r="A686" s="299"/>
      <c r="B686" s="881"/>
      <c r="C686" s="124" t="s">
        <v>125</v>
      </c>
      <c r="D686" s="4">
        <v>0</v>
      </c>
      <c r="E686" s="5">
        <v>1</v>
      </c>
      <c r="F686" s="21">
        <v>0</v>
      </c>
      <c r="G686" s="387"/>
      <c r="H686" s="358"/>
      <c r="I686" s="388"/>
      <c r="J686" s="359">
        <f t="shared" si="129"/>
        <v>0</v>
      </c>
    </row>
    <row r="687" spans="1:10" x14ac:dyDescent="0.35">
      <c r="A687" s="299"/>
      <c r="B687" s="881"/>
      <c r="C687" s="124" t="s">
        <v>125</v>
      </c>
      <c r="D687" s="4"/>
      <c r="E687" s="5"/>
      <c r="F687" s="21"/>
      <c r="G687" s="387"/>
      <c r="H687" s="358"/>
      <c r="I687" s="388"/>
      <c r="J687" s="359">
        <f>D687*E687*F687</f>
        <v>0</v>
      </c>
    </row>
    <row r="688" spans="1:10" x14ac:dyDescent="0.35">
      <c r="A688" s="299"/>
      <c r="B688" s="881"/>
      <c r="C688" s="124" t="s">
        <v>125</v>
      </c>
      <c r="D688" s="4"/>
      <c r="E688" s="5"/>
      <c r="F688" s="21"/>
      <c r="G688" s="387"/>
      <c r="H688" s="358"/>
      <c r="I688" s="388"/>
      <c r="J688" s="359">
        <f t="shared" ref="J688:J690" si="130">D688*E688*F688</f>
        <v>0</v>
      </c>
    </row>
    <row r="689" spans="1:10" x14ac:dyDescent="0.35">
      <c r="A689" s="299"/>
      <c r="B689" s="881"/>
      <c r="C689" s="130"/>
      <c r="D689" s="4"/>
      <c r="E689" s="5"/>
      <c r="F689" s="21"/>
      <c r="G689" s="387"/>
      <c r="H689" s="358"/>
      <c r="I689" s="388"/>
      <c r="J689" s="359">
        <f t="shared" si="130"/>
        <v>0</v>
      </c>
    </row>
    <row r="690" spans="1:10" x14ac:dyDescent="0.35">
      <c r="A690" s="299"/>
      <c r="B690" s="881"/>
      <c r="C690" s="130"/>
      <c r="D690" s="4"/>
      <c r="E690" s="5"/>
      <c r="F690" s="21"/>
      <c r="G690" s="387"/>
      <c r="H690" s="358"/>
      <c r="I690" s="388"/>
      <c r="J690" s="359">
        <f t="shared" si="130"/>
        <v>0</v>
      </c>
    </row>
    <row r="691" spans="1:10" x14ac:dyDescent="0.35">
      <c r="A691" s="299"/>
      <c r="B691" s="881"/>
      <c r="C691" s="130"/>
      <c r="D691" s="4"/>
      <c r="E691" s="5"/>
      <c r="F691" s="21"/>
      <c r="G691" s="387"/>
      <c r="H691" s="358"/>
      <c r="I691" s="388"/>
      <c r="J691" s="359">
        <f t="shared" ref="J691:J693" si="131">D691*E691*F691</f>
        <v>0</v>
      </c>
    </row>
    <row r="692" spans="1:10" x14ac:dyDescent="0.35">
      <c r="A692" s="299"/>
      <c r="B692" s="881"/>
      <c r="C692" s="130"/>
      <c r="D692" s="4"/>
      <c r="E692" s="5"/>
      <c r="F692" s="21"/>
      <c r="G692" s="387"/>
      <c r="H692" s="358"/>
      <c r="I692" s="388"/>
      <c r="J692" s="359">
        <f t="shared" si="131"/>
        <v>0</v>
      </c>
    </row>
    <row r="693" spans="1:10" x14ac:dyDescent="0.35">
      <c r="A693" s="299"/>
      <c r="B693" s="881"/>
      <c r="C693" s="130"/>
      <c r="D693" s="4"/>
      <c r="E693" s="5"/>
      <c r="F693" s="21"/>
      <c r="G693" s="387"/>
      <c r="H693" s="358"/>
      <c r="I693" s="388"/>
      <c r="J693" s="359">
        <f t="shared" si="131"/>
        <v>0</v>
      </c>
    </row>
    <row r="694" spans="1:10" x14ac:dyDescent="0.35">
      <c r="A694" s="299"/>
      <c r="B694" s="881"/>
      <c r="C694" s="130"/>
      <c r="D694" s="4"/>
      <c r="E694" s="5"/>
      <c r="F694" s="21"/>
      <c r="G694" s="387"/>
      <c r="H694" s="358"/>
      <c r="I694" s="388"/>
      <c r="J694" s="359">
        <f>D694*E694*F694</f>
        <v>0</v>
      </c>
    </row>
    <row r="695" spans="1:10" x14ac:dyDescent="0.35">
      <c r="A695" s="299"/>
      <c r="B695" s="881"/>
      <c r="C695" s="130"/>
      <c r="D695" s="4"/>
      <c r="E695" s="5"/>
      <c r="F695" s="21"/>
      <c r="G695" s="387"/>
      <c r="H695" s="358"/>
      <c r="I695" s="388"/>
      <c r="J695" s="359">
        <f>D695*E695*F695</f>
        <v>0</v>
      </c>
    </row>
    <row r="696" spans="1:10" x14ac:dyDescent="0.35">
      <c r="A696" s="299"/>
      <c r="B696" s="881"/>
      <c r="C696" s="130"/>
      <c r="D696" s="4"/>
      <c r="E696" s="5"/>
      <c r="F696" s="21"/>
      <c r="G696" s="387"/>
      <c r="H696" s="358"/>
      <c r="I696" s="388"/>
      <c r="J696" s="359">
        <f>D696*E696*F696</f>
        <v>0</v>
      </c>
    </row>
    <row r="697" spans="1:10" x14ac:dyDescent="0.35">
      <c r="A697" s="299"/>
      <c r="B697" s="881"/>
      <c r="C697" s="130"/>
      <c r="D697" s="4"/>
      <c r="E697" s="5"/>
      <c r="F697" s="21"/>
      <c r="G697" s="387"/>
      <c r="H697" s="358"/>
      <c r="I697" s="388"/>
      <c r="J697" s="359">
        <f>D697*E697*F697</f>
        <v>0</v>
      </c>
    </row>
    <row r="698" spans="1:10" x14ac:dyDescent="0.35">
      <c r="A698" s="299"/>
      <c r="B698" s="881"/>
      <c r="C698" s="360" t="str">
        <f>Language!A28</f>
        <v>Planta de compostaje</v>
      </c>
      <c r="D698" s="355"/>
      <c r="E698" s="355"/>
      <c r="F698" s="361"/>
      <c r="G698" s="355"/>
      <c r="H698" s="355"/>
      <c r="I698" s="389"/>
      <c r="J698" s="359"/>
    </row>
    <row r="699" spans="1:10" x14ac:dyDescent="0.35">
      <c r="A699" s="299"/>
      <c r="B699" s="881"/>
      <c r="C699" s="130" t="s">
        <v>133</v>
      </c>
      <c r="D699" s="4">
        <v>0</v>
      </c>
      <c r="E699" s="5">
        <v>1</v>
      </c>
      <c r="F699" s="21">
        <v>0</v>
      </c>
      <c r="G699" s="387"/>
      <c r="H699" s="358"/>
      <c r="I699" s="388"/>
      <c r="J699" s="359">
        <f>D699*E699*F699</f>
        <v>0</v>
      </c>
    </row>
    <row r="700" spans="1:10" x14ac:dyDescent="0.35">
      <c r="A700" s="299"/>
      <c r="B700" s="881"/>
      <c r="C700" s="130" t="s">
        <v>151</v>
      </c>
      <c r="D700" s="4">
        <v>0</v>
      </c>
      <c r="E700" s="5">
        <v>1</v>
      </c>
      <c r="F700" s="21">
        <v>0</v>
      </c>
      <c r="G700" s="387"/>
      <c r="H700" s="358"/>
      <c r="I700" s="388"/>
      <c r="J700" s="359">
        <f t="shared" ref="J700:J708" si="132">D700*E700*F700</f>
        <v>0</v>
      </c>
    </row>
    <row r="701" spans="1:10" x14ac:dyDescent="0.35">
      <c r="A701" s="299"/>
      <c r="B701" s="881"/>
      <c r="C701" s="130" t="s">
        <v>502</v>
      </c>
      <c r="D701" s="4">
        <v>0</v>
      </c>
      <c r="E701" s="5">
        <v>1</v>
      </c>
      <c r="F701" s="21">
        <v>0</v>
      </c>
      <c r="G701" s="387"/>
      <c r="H701" s="358"/>
      <c r="I701" s="388"/>
      <c r="J701" s="359">
        <f t="shared" ref="J701:J704" si="133">D701*E701*F701</f>
        <v>0</v>
      </c>
    </row>
    <row r="702" spans="1:10" x14ac:dyDescent="0.35">
      <c r="A702" s="299"/>
      <c r="B702" s="881"/>
      <c r="C702" s="130" t="s">
        <v>148</v>
      </c>
      <c r="D702" s="4">
        <v>0</v>
      </c>
      <c r="E702" s="5">
        <v>1</v>
      </c>
      <c r="F702" s="21">
        <v>0</v>
      </c>
      <c r="G702" s="387"/>
      <c r="H702" s="358"/>
      <c r="I702" s="388"/>
      <c r="J702" s="359">
        <f t="shared" si="133"/>
        <v>0</v>
      </c>
    </row>
    <row r="703" spans="1:10" x14ac:dyDescent="0.35">
      <c r="A703" s="299"/>
      <c r="B703" s="881"/>
      <c r="C703" s="124" t="s">
        <v>125</v>
      </c>
      <c r="D703" s="4">
        <v>0</v>
      </c>
      <c r="E703" s="5">
        <v>1</v>
      </c>
      <c r="F703" s="21">
        <v>0</v>
      </c>
      <c r="G703" s="387"/>
      <c r="H703" s="358"/>
      <c r="I703" s="388"/>
      <c r="J703" s="359">
        <f t="shared" si="133"/>
        <v>0</v>
      </c>
    </row>
    <row r="704" spans="1:10" x14ac:dyDescent="0.35">
      <c r="A704" s="299"/>
      <c r="B704" s="881"/>
      <c r="C704" s="124" t="s">
        <v>125</v>
      </c>
      <c r="D704" s="4"/>
      <c r="E704" s="5"/>
      <c r="F704" s="21"/>
      <c r="G704" s="387"/>
      <c r="H704" s="358"/>
      <c r="I704" s="388"/>
      <c r="J704" s="359">
        <f t="shared" si="133"/>
        <v>0</v>
      </c>
    </row>
    <row r="705" spans="1:10" x14ac:dyDescent="0.35">
      <c r="A705" s="299"/>
      <c r="B705" s="881"/>
      <c r="C705" s="124" t="s">
        <v>125</v>
      </c>
      <c r="D705" s="4"/>
      <c r="E705" s="5"/>
      <c r="F705" s="21"/>
      <c r="G705" s="387"/>
      <c r="H705" s="358"/>
      <c r="I705" s="388"/>
      <c r="J705" s="359">
        <f t="shared" ref="J705:J707" si="134">D705*E705*F705</f>
        <v>0</v>
      </c>
    </row>
    <row r="706" spans="1:10" x14ac:dyDescent="0.35">
      <c r="A706" s="299"/>
      <c r="B706" s="881"/>
      <c r="C706" s="130"/>
      <c r="D706" s="4"/>
      <c r="E706" s="5"/>
      <c r="F706" s="21"/>
      <c r="G706" s="387"/>
      <c r="H706" s="358"/>
      <c r="I706" s="388"/>
      <c r="J706" s="359">
        <f t="shared" si="134"/>
        <v>0</v>
      </c>
    </row>
    <row r="707" spans="1:10" x14ac:dyDescent="0.35">
      <c r="A707" s="299"/>
      <c r="B707" s="881"/>
      <c r="C707" s="130"/>
      <c r="D707" s="4"/>
      <c r="E707" s="5"/>
      <c r="F707" s="21"/>
      <c r="G707" s="387"/>
      <c r="H707" s="358"/>
      <c r="I707" s="388"/>
      <c r="J707" s="359">
        <f t="shared" si="134"/>
        <v>0</v>
      </c>
    </row>
    <row r="708" spans="1:10" x14ac:dyDescent="0.35">
      <c r="A708" s="299"/>
      <c r="B708" s="881"/>
      <c r="C708" s="130"/>
      <c r="D708" s="4"/>
      <c r="E708" s="5"/>
      <c r="F708" s="21"/>
      <c r="G708" s="387"/>
      <c r="H708" s="358"/>
      <c r="I708" s="388"/>
      <c r="J708" s="359">
        <f t="shared" si="132"/>
        <v>0</v>
      </c>
    </row>
    <row r="709" spans="1:10" x14ac:dyDescent="0.35">
      <c r="A709" s="299"/>
      <c r="B709" s="881"/>
      <c r="C709" s="130"/>
      <c r="D709" s="4"/>
      <c r="E709" s="5"/>
      <c r="F709" s="21"/>
      <c r="G709" s="387"/>
      <c r="H709" s="358"/>
      <c r="I709" s="388"/>
      <c r="J709" s="359">
        <f t="shared" ref="J709:J710" si="135">D709*E709*F709</f>
        <v>0</v>
      </c>
    </row>
    <row r="710" spans="1:10" x14ac:dyDescent="0.35">
      <c r="A710" s="299"/>
      <c r="B710" s="881"/>
      <c r="C710" s="130"/>
      <c r="D710" s="4"/>
      <c r="E710" s="5"/>
      <c r="F710" s="21"/>
      <c r="G710" s="387"/>
      <c r="H710" s="358"/>
      <c r="I710" s="388"/>
      <c r="J710" s="359">
        <f t="shared" si="135"/>
        <v>0</v>
      </c>
    </row>
    <row r="711" spans="1:10" x14ac:dyDescent="0.35">
      <c r="A711" s="299"/>
      <c r="B711" s="881"/>
      <c r="C711" s="130"/>
      <c r="D711" s="4"/>
      <c r="E711" s="5"/>
      <c r="F711" s="21"/>
      <c r="G711" s="387"/>
      <c r="H711" s="358"/>
      <c r="I711" s="388"/>
      <c r="J711" s="359">
        <f>D711*E711*F711</f>
        <v>0</v>
      </c>
    </row>
    <row r="712" spans="1:10" x14ac:dyDescent="0.35">
      <c r="A712" s="299"/>
      <c r="B712" s="881"/>
      <c r="C712" s="130"/>
      <c r="D712" s="4"/>
      <c r="E712" s="5"/>
      <c r="F712" s="21"/>
      <c r="G712" s="387"/>
      <c r="H712" s="358"/>
      <c r="I712" s="388"/>
      <c r="J712" s="359">
        <f>D712*E712*F712</f>
        <v>0</v>
      </c>
    </row>
    <row r="713" spans="1:10" x14ac:dyDescent="0.35">
      <c r="A713" s="299"/>
      <c r="B713" s="881"/>
      <c r="C713" s="130"/>
      <c r="D713" s="4"/>
      <c r="E713" s="5"/>
      <c r="F713" s="21"/>
      <c r="G713" s="387"/>
      <c r="H713" s="358"/>
      <c r="I713" s="388"/>
      <c r="J713" s="359">
        <f>D713*E713*F713</f>
        <v>0</v>
      </c>
    </row>
    <row r="714" spans="1:10" x14ac:dyDescent="0.35">
      <c r="A714" s="299"/>
      <c r="B714" s="881"/>
      <c r="C714" s="360" t="str">
        <f>Language!A29</f>
        <v>Estación de transferencia y transporte</v>
      </c>
      <c r="D714" s="355"/>
      <c r="E714" s="355"/>
      <c r="F714" s="361"/>
      <c r="G714" s="355"/>
      <c r="H714" s="355"/>
      <c r="I714" s="389"/>
      <c r="J714" s="359"/>
    </row>
    <row r="715" spans="1:10" x14ac:dyDescent="0.35">
      <c r="A715" s="299"/>
      <c r="B715" s="881"/>
      <c r="C715" s="130" t="s">
        <v>743</v>
      </c>
      <c r="D715" s="4">
        <v>0</v>
      </c>
      <c r="E715" s="5">
        <v>1</v>
      </c>
      <c r="F715" s="21">
        <v>0</v>
      </c>
      <c r="G715" s="387"/>
      <c r="H715" s="358"/>
      <c r="I715" s="388"/>
      <c r="J715" s="359">
        <f>D715*E715*F715</f>
        <v>0</v>
      </c>
    </row>
    <row r="716" spans="1:10" x14ac:dyDescent="0.35">
      <c r="A716" s="299"/>
      <c r="B716" s="881"/>
      <c r="C716" s="124" t="s">
        <v>125</v>
      </c>
      <c r="D716" s="4"/>
      <c r="E716" s="5"/>
      <c r="F716" s="21"/>
      <c r="G716" s="387"/>
      <c r="H716" s="358"/>
      <c r="I716" s="388"/>
      <c r="J716" s="359">
        <f t="shared" ref="J716:J722" si="136">D716*E716*F716</f>
        <v>0</v>
      </c>
    </row>
    <row r="717" spans="1:10" x14ac:dyDescent="0.35">
      <c r="A717" s="299"/>
      <c r="B717" s="881"/>
      <c r="C717" s="124" t="s">
        <v>125</v>
      </c>
      <c r="D717" s="4"/>
      <c r="E717" s="5"/>
      <c r="F717" s="21"/>
      <c r="G717" s="387"/>
      <c r="H717" s="358"/>
      <c r="I717" s="388"/>
      <c r="J717" s="359">
        <f t="shared" si="136"/>
        <v>0</v>
      </c>
    </row>
    <row r="718" spans="1:10" x14ac:dyDescent="0.35">
      <c r="A718" s="299"/>
      <c r="B718" s="881"/>
      <c r="C718" s="124" t="s">
        <v>125</v>
      </c>
      <c r="D718" s="4"/>
      <c r="E718" s="5"/>
      <c r="F718" s="21"/>
      <c r="G718" s="387"/>
      <c r="H718" s="358"/>
      <c r="I718" s="388"/>
      <c r="J718" s="359">
        <f t="shared" ref="J718:J720" si="137">D718*E718*F718</f>
        <v>0</v>
      </c>
    </row>
    <row r="719" spans="1:10" x14ac:dyDescent="0.35">
      <c r="A719" s="299"/>
      <c r="B719" s="881"/>
      <c r="C719" s="130"/>
      <c r="D719" s="4"/>
      <c r="E719" s="5"/>
      <c r="F719" s="21"/>
      <c r="G719" s="387"/>
      <c r="H719" s="358"/>
      <c r="I719" s="388"/>
      <c r="J719" s="359">
        <f t="shared" si="137"/>
        <v>0</v>
      </c>
    </row>
    <row r="720" spans="1:10" x14ac:dyDescent="0.35">
      <c r="A720" s="299"/>
      <c r="B720" s="881"/>
      <c r="C720" s="130"/>
      <c r="D720" s="4"/>
      <c r="E720" s="5"/>
      <c r="F720" s="21"/>
      <c r="G720" s="387"/>
      <c r="H720" s="358"/>
      <c r="I720" s="388"/>
      <c r="J720" s="359">
        <f t="shared" si="137"/>
        <v>0</v>
      </c>
    </row>
    <row r="721" spans="1:10" x14ac:dyDescent="0.35">
      <c r="A721" s="299"/>
      <c r="B721" s="881"/>
      <c r="C721" s="130"/>
      <c r="D721" s="4"/>
      <c r="E721" s="5"/>
      <c r="F721" s="21"/>
      <c r="G721" s="387"/>
      <c r="H721" s="358"/>
      <c r="I721" s="388"/>
      <c r="J721" s="359">
        <f t="shared" si="136"/>
        <v>0</v>
      </c>
    </row>
    <row r="722" spans="1:10" x14ac:dyDescent="0.35">
      <c r="A722" s="299"/>
      <c r="B722" s="881"/>
      <c r="C722" s="130"/>
      <c r="D722" s="4"/>
      <c r="E722" s="5"/>
      <c r="F722" s="21"/>
      <c r="G722" s="387"/>
      <c r="H722" s="358"/>
      <c r="I722" s="388"/>
      <c r="J722" s="359">
        <f t="shared" si="136"/>
        <v>0</v>
      </c>
    </row>
    <row r="723" spans="1:10" x14ac:dyDescent="0.35">
      <c r="A723" s="299"/>
      <c r="B723" s="881"/>
      <c r="C723" s="130"/>
      <c r="D723" s="4"/>
      <c r="E723" s="5"/>
      <c r="F723" s="21"/>
      <c r="G723" s="387"/>
      <c r="H723" s="358"/>
      <c r="I723" s="388"/>
      <c r="J723" s="359">
        <f t="shared" ref="J723:J724" si="138">D723*E723*F723</f>
        <v>0</v>
      </c>
    </row>
    <row r="724" spans="1:10" x14ac:dyDescent="0.35">
      <c r="A724" s="299"/>
      <c r="B724" s="881"/>
      <c r="C724" s="130"/>
      <c r="D724" s="4"/>
      <c r="E724" s="5"/>
      <c r="F724" s="21"/>
      <c r="G724" s="387"/>
      <c r="H724" s="358"/>
      <c r="I724" s="388"/>
      <c r="J724" s="359">
        <f t="shared" si="138"/>
        <v>0</v>
      </c>
    </row>
    <row r="725" spans="1:10" x14ac:dyDescent="0.35">
      <c r="A725" s="299"/>
      <c r="B725" s="881"/>
      <c r="C725" s="130"/>
      <c r="D725" s="4"/>
      <c r="E725" s="5"/>
      <c r="F725" s="21"/>
      <c r="G725" s="387"/>
      <c r="H725" s="358"/>
      <c r="I725" s="388"/>
      <c r="J725" s="359">
        <f t="shared" ref="J725:J726" si="139">D725*E725*F725</f>
        <v>0</v>
      </c>
    </row>
    <row r="726" spans="1:10" x14ac:dyDescent="0.35">
      <c r="A726" s="299"/>
      <c r="B726" s="881"/>
      <c r="C726" s="130"/>
      <c r="D726" s="4"/>
      <c r="E726" s="5"/>
      <c r="F726" s="21"/>
      <c r="G726" s="387"/>
      <c r="H726" s="358"/>
      <c r="I726" s="388"/>
      <c r="J726" s="359">
        <f t="shared" si="139"/>
        <v>0</v>
      </c>
    </row>
    <row r="727" spans="1:10" x14ac:dyDescent="0.35">
      <c r="A727" s="299"/>
      <c r="B727" s="881"/>
      <c r="C727" s="130"/>
      <c r="D727" s="4"/>
      <c r="E727" s="5"/>
      <c r="F727" s="21"/>
      <c r="G727" s="387"/>
      <c r="H727" s="358"/>
      <c r="I727" s="388"/>
      <c r="J727" s="359">
        <f>D727*E727*F727</f>
        <v>0</v>
      </c>
    </row>
    <row r="728" spans="1:10" x14ac:dyDescent="0.35">
      <c r="A728" s="299"/>
      <c r="B728" s="881"/>
      <c r="C728" s="130"/>
      <c r="D728" s="4"/>
      <c r="E728" s="5"/>
      <c r="F728" s="21"/>
      <c r="G728" s="387"/>
      <c r="H728" s="358"/>
      <c r="I728" s="388"/>
      <c r="J728" s="359">
        <f>D728*E728*F728</f>
        <v>0</v>
      </c>
    </row>
    <row r="729" spans="1:10" x14ac:dyDescent="0.35">
      <c r="A729" s="299"/>
      <c r="B729" s="881"/>
      <c r="C729" s="130"/>
      <c r="D729" s="4"/>
      <c r="E729" s="5"/>
      <c r="F729" s="21"/>
      <c r="G729" s="387"/>
      <c r="H729" s="358"/>
      <c r="I729" s="388"/>
      <c r="J729" s="359">
        <f>D729*E729*F729</f>
        <v>0</v>
      </c>
    </row>
    <row r="730" spans="1:10" x14ac:dyDescent="0.35">
      <c r="A730" s="299"/>
      <c r="B730" s="881"/>
      <c r="C730" s="360" t="str">
        <f>Language!A30</f>
        <v>Disposición final</v>
      </c>
      <c r="D730" s="355"/>
      <c r="E730" s="355"/>
      <c r="F730" s="361"/>
      <c r="G730" s="355"/>
      <c r="H730" s="355"/>
      <c r="I730" s="389"/>
      <c r="J730" s="359"/>
    </row>
    <row r="731" spans="1:10" x14ac:dyDescent="0.35">
      <c r="A731" s="299"/>
      <c r="B731" s="881"/>
      <c r="C731" s="130" t="s">
        <v>133</v>
      </c>
      <c r="D731" s="4">
        <v>0</v>
      </c>
      <c r="E731" s="5">
        <v>1</v>
      </c>
      <c r="F731" s="21">
        <v>0</v>
      </c>
      <c r="G731" s="387"/>
      <c r="H731" s="358"/>
      <c r="I731" s="388"/>
      <c r="J731" s="359">
        <f>D731*E731*F731</f>
        <v>0</v>
      </c>
    </row>
    <row r="732" spans="1:10" x14ac:dyDescent="0.35">
      <c r="A732" s="299"/>
      <c r="B732" s="881"/>
      <c r="C732" s="130" t="s">
        <v>151</v>
      </c>
      <c r="D732" s="4">
        <v>0</v>
      </c>
      <c r="E732" s="5">
        <v>1</v>
      </c>
      <c r="F732" s="21">
        <v>0</v>
      </c>
      <c r="G732" s="387"/>
      <c r="H732" s="358"/>
      <c r="I732" s="388"/>
      <c r="J732" s="359">
        <f t="shared" ref="J732:J735" si="140">D732*E732*F732</f>
        <v>0</v>
      </c>
    </row>
    <row r="733" spans="1:10" x14ac:dyDescent="0.35">
      <c r="A733" s="299"/>
      <c r="B733" s="881"/>
      <c r="C733" s="130" t="s">
        <v>502</v>
      </c>
      <c r="D733" s="4">
        <v>0</v>
      </c>
      <c r="E733" s="5">
        <v>1</v>
      </c>
      <c r="F733" s="21">
        <v>0</v>
      </c>
      <c r="G733" s="387"/>
      <c r="H733" s="358"/>
      <c r="I733" s="388"/>
      <c r="J733" s="359">
        <f t="shared" si="140"/>
        <v>0</v>
      </c>
    </row>
    <row r="734" spans="1:10" x14ac:dyDescent="0.35">
      <c r="A734" s="299"/>
      <c r="B734" s="881"/>
      <c r="C734" s="134" t="s">
        <v>536</v>
      </c>
      <c r="D734" s="4">
        <v>0</v>
      </c>
      <c r="E734" s="5">
        <v>1</v>
      </c>
      <c r="F734" s="21">
        <v>0</v>
      </c>
      <c r="G734" s="387"/>
      <c r="H734" s="358"/>
      <c r="I734" s="388"/>
      <c r="J734" s="359">
        <f t="shared" si="140"/>
        <v>0</v>
      </c>
    </row>
    <row r="735" spans="1:10" x14ac:dyDescent="0.35">
      <c r="A735" s="299"/>
      <c r="B735" s="881"/>
      <c r="C735" s="130" t="s">
        <v>148</v>
      </c>
      <c r="D735" s="4">
        <v>0</v>
      </c>
      <c r="E735" s="5">
        <v>1</v>
      </c>
      <c r="F735" s="21">
        <v>0</v>
      </c>
      <c r="G735" s="387"/>
      <c r="H735" s="358"/>
      <c r="I735" s="388"/>
      <c r="J735" s="359">
        <f t="shared" si="140"/>
        <v>0</v>
      </c>
    </row>
    <row r="736" spans="1:10" x14ac:dyDescent="0.35">
      <c r="A736" s="299"/>
      <c r="B736" s="881"/>
      <c r="C736" s="130" t="s">
        <v>746</v>
      </c>
      <c r="D736" s="4">
        <v>0</v>
      </c>
      <c r="E736" s="5">
        <v>1</v>
      </c>
      <c r="F736" s="21">
        <v>0</v>
      </c>
      <c r="G736" s="387"/>
      <c r="H736" s="358"/>
      <c r="I736" s="388"/>
      <c r="J736" s="359">
        <f t="shared" ref="J736:J738" si="141">D736*E736*F736</f>
        <v>0</v>
      </c>
    </row>
    <row r="737" spans="1:13" x14ac:dyDescent="0.35">
      <c r="A737" s="299"/>
      <c r="B737" s="881"/>
      <c r="C737" s="124" t="s">
        <v>125</v>
      </c>
      <c r="D737" s="4"/>
      <c r="E737" s="5"/>
      <c r="F737" s="21"/>
      <c r="G737" s="387"/>
      <c r="H737" s="358"/>
      <c r="I737" s="388"/>
      <c r="J737" s="359">
        <f t="shared" si="141"/>
        <v>0</v>
      </c>
    </row>
    <row r="738" spans="1:13" x14ac:dyDescent="0.35">
      <c r="A738" s="299"/>
      <c r="B738" s="881"/>
      <c r="C738" s="124" t="s">
        <v>125</v>
      </c>
      <c r="D738" s="4"/>
      <c r="E738" s="5"/>
      <c r="F738" s="21"/>
      <c r="G738" s="387"/>
      <c r="H738" s="358"/>
      <c r="I738" s="388"/>
      <c r="J738" s="359">
        <f t="shared" si="141"/>
        <v>0</v>
      </c>
    </row>
    <row r="739" spans="1:13" x14ac:dyDescent="0.35">
      <c r="A739" s="299"/>
      <c r="B739" s="881"/>
      <c r="C739" s="124" t="s">
        <v>125</v>
      </c>
      <c r="D739" s="4"/>
      <c r="E739" s="5"/>
      <c r="F739" s="21"/>
      <c r="G739" s="387"/>
      <c r="H739" s="358"/>
      <c r="I739" s="388"/>
      <c r="J739" s="359">
        <f t="shared" ref="J739:J742" si="142">D739*E739*F739</f>
        <v>0</v>
      </c>
    </row>
    <row r="740" spans="1:13" x14ac:dyDescent="0.35">
      <c r="A740" s="299"/>
      <c r="B740" s="881"/>
      <c r="C740" s="130"/>
      <c r="D740" s="4"/>
      <c r="E740" s="5"/>
      <c r="F740" s="21"/>
      <c r="G740" s="387"/>
      <c r="H740" s="358"/>
      <c r="I740" s="388"/>
      <c r="J740" s="359">
        <f t="shared" si="142"/>
        <v>0</v>
      </c>
    </row>
    <row r="741" spans="1:13" x14ac:dyDescent="0.35">
      <c r="A741" s="299"/>
      <c r="B741" s="881"/>
      <c r="C741" s="130"/>
      <c r="D741" s="4"/>
      <c r="E741" s="5"/>
      <c r="F741" s="21"/>
      <c r="G741" s="387"/>
      <c r="H741" s="358"/>
      <c r="I741" s="388"/>
      <c r="J741" s="359">
        <f t="shared" si="142"/>
        <v>0</v>
      </c>
    </row>
    <row r="742" spans="1:13" x14ac:dyDescent="0.35">
      <c r="A742" s="299"/>
      <c r="B742" s="881"/>
      <c r="C742" s="130"/>
      <c r="D742" s="4"/>
      <c r="E742" s="5"/>
      <c r="F742" s="21"/>
      <c r="G742" s="387"/>
      <c r="H742" s="358"/>
      <c r="I742" s="388"/>
      <c r="J742" s="359">
        <f t="shared" si="142"/>
        <v>0</v>
      </c>
    </row>
    <row r="743" spans="1:13" ht="15" thickBot="1" x14ac:dyDescent="0.4">
      <c r="A743" s="299"/>
      <c r="B743" s="883"/>
      <c r="C743" s="132"/>
      <c r="D743" s="113"/>
      <c r="E743" s="114"/>
      <c r="F743" s="120"/>
      <c r="G743" s="390"/>
      <c r="H743" s="362"/>
      <c r="I743" s="391"/>
      <c r="J743" s="374">
        <f>D743*E743*F743</f>
        <v>0</v>
      </c>
    </row>
    <row r="744" spans="1:13" s="299" customFormat="1" ht="15" thickBot="1" x14ac:dyDescent="0.4">
      <c r="B744" s="392"/>
      <c r="C744" s="393"/>
      <c r="E744" s="394"/>
      <c r="F744" s="395"/>
      <c r="G744" s="394"/>
      <c r="I744" s="396"/>
      <c r="J744" s="357"/>
      <c r="K744" s="357"/>
    </row>
    <row r="745" spans="1:13" ht="29" thickBot="1" x14ac:dyDescent="0.4">
      <c r="A745" s="299"/>
      <c r="B745" s="894" t="str">
        <f>Language!A41</f>
        <v>Administración del servicio</v>
      </c>
      <c r="C745" s="903" t="str">
        <f>Language!A18</f>
        <v>Personal</v>
      </c>
      <c r="D745" s="904"/>
      <c r="E745" s="904"/>
      <c r="F745" s="904"/>
      <c r="G745" s="904"/>
      <c r="H745" s="904"/>
      <c r="I745" s="904"/>
      <c r="J745" s="905"/>
      <c r="K745" s="343"/>
      <c r="M745" s="397"/>
    </row>
    <row r="746" spans="1:13" ht="44" thickBot="1" x14ac:dyDescent="0.4">
      <c r="A746" s="299"/>
      <c r="B746" s="895"/>
      <c r="C746" s="398" t="s">
        <v>303</v>
      </c>
      <c r="D746" s="399" t="str">
        <f>Language!A19</f>
        <v>Cantidad de personas empleadas en cargo específico</v>
      </c>
      <c r="E746" s="399" t="str">
        <f>Language!A20</f>
        <v>Dedicación a la prestación del servicio de gestión de los residuos sólidos [%]</v>
      </c>
      <c r="F746" s="400" t="str">
        <f>Language!A21</f>
        <v>Salario anual [$$$/año]</v>
      </c>
      <c r="G746" s="399" t="str">
        <f>Language!A22</f>
        <v>Beneficios sociales y seguros [$$$/año]</v>
      </c>
      <c r="H746" s="401" t="s">
        <v>301</v>
      </c>
      <c r="I746" s="401" t="s">
        <v>302</v>
      </c>
      <c r="J746" s="402" t="str">
        <f>Language!A23</f>
        <v>Costo total por año [$$$/año]</v>
      </c>
      <c r="K746" s="350"/>
      <c r="M746" s="397"/>
    </row>
    <row r="747" spans="1:13" x14ac:dyDescent="0.35">
      <c r="A747" s="299"/>
      <c r="B747" s="895"/>
      <c r="C747" s="131" t="s">
        <v>146</v>
      </c>
      <c r="D747" s="8">
        <v>1</v>
      </c>
      <c r="E747" s="5">
        <v>1</v>
      </c>
      <c r="F747" s="22">
        <v>1000000</v>
      </c>
      <c r="G747" s="122"/>
      <c r="H747" s="403"/>
      <c r="I747" s="403"/>
      <c r="J747" s="359">
        <f t="shared" ref="J747:J767" si="143">D747*E747*(F747+G747)</f>
        <v>1000000</v>
      </c>
      <c r="M747" s="397"/>
    </row>
    <row r="748" spans="1:13" x14ac:dyDescent="0.35">
      <c r="A748" s="299"/>
      <c r="B748" s="895"/>
      <c r="C748" s="131" t="s">
        <v>747</v>
      </c>
      <c r="D748" s="8">
        <v>0</v>
      </c>
      <c r="E748" s="5">
        <v>1</v>
      </c>
      <c r="F748" s="22">
        <v>0</v>
      </c>
      <c r="G748" s="122"/>
      <c r="H748" s="403"/>
      <c r="I748" s="403"/>
      <c r="J748" s="359">
        <f t="shared" ref="J748:J751" si="144">D748*E748*(F748+G748)</f>
        <v>0</v>
      </c>
      <c r="M748" s="397"/>
    </row>
    <row r="749" spans="1:13" x14ac:dyDescent="0.35">
      <c r="A749" s="299"/>
      <c r="B749" s="895"/>
      <c r="C749" s="131" t="s">
        <v>748</v>
      </c>
      <c r="D749" s="8">
        <v>0</v>
      </c>
      <c r="E749" s="5">
        <v>1</v>
      </c>
      <c r="F749" s="22">
        <v>0</v>
      </c>
      <c r="G749" s="122"/>
      <c r="H749" s="403"/>
      <c r="I749" s="403"/>
      <c r="J749" s="359">
        <f t="shared" si="144"/>
        <v>0</v>
      </c>
      <c r="M749" s="397"/>
    </row>
    <row r="750" spans="1:13" x14ac:dyDescent="0.35">
      <c r="A750" s="299"/>
      <c r="B750" s="895"/>
      <c r="C750" s="131" t="s">
        <v>503</v>
      </c>
      <c r="D750" s="8">
        <v>0</v>
      </c>
      <c r="E750" s="5">
        <v>1</v>
      </c>
      <c r="F750" s="22">
        <v>0</v>
      </c>
      <c r="G750" s="122"/>
      <c r="H750" s="403"/>
      <c r="I750" s="403"/>
      <c r="J750" s="359">
        <f t="shared" si="144"/>
        <v>0</v>
      </c>
      <c r="M750" s="397"/>
    </row>
    <row r="751" spans="1:13" x14ac:dyDescent="0.35">
      <c r="A751" s="299"/>
      <c r="B751" s="895"/>
      <c r="C751" s="131" t="s">
        <v>504</v>
      </c>
      <c r="D751" s="8">
        <v>0</v>
      </c>
      <c r="E751" s="5">
        <v>1</v>
      </c>
      <c r="F751" s="22">
        <v>0</v>
      </c>
      <c r="G751" s="122"/>
      <c r="H751" s="403"/>
      <c r="I751" s="403"/>
      <c r="J751" s="359">
        <f t="shared" si="144"/>
        <v>0</v>
      </c>
      <c r="M751" s="397"/>
    </row>
    <row r="752" spans="1:13" x14ac:dyDescent="0.35">
      <c r="A752" s="299"/>
      <c r="B752" s="895"/>
      <c r="C752" s="131" t="s">
        <v>787</v>
      </c>
      <c r="D752" s="8">
        <v>0</v>
      </c>
      <c r="E752" s="5">
        <v>1</v>
      </c>
      <c r="F752" s="22">
        <v>0</v>
      </c>
      <c r="G752" s="122"/>
      <c r="H752" s="403"/>
      <c r="I752" s="403"/>
      <c r="J752" s="359">
        <f t="shared" ref="J752:J759" si="145">D752*E752*(F752+G752)</f>
        <v>0</v>
      </c>
      <c r="M752" s="397"/>
    </row>
    <row r="753" spans="1:13" x14ac:dyDescent="0.35">
      <c r="A753" s="299"/>
      <c r="B753" s="895"/>
      <c r="C753" s="131" t="s">
        <v>749</v>
      </c>
      <c r="D753" s="8">
        <v>0</v>
      </c>
      <c r="E753" s="5">
        <v>1</v>
      </c>
      <c r="F753" s="22">
        <v>0</v>
      </c>
      <c r="G753" s="122"/>
      <c r="H753" s="403"/>
      <c r="I753" s="403"/>
      <c r="J753" s="359">
        <f>D753*E753*(F753+G753)</f>
        <v>0</v>
      </c>
      <c r="M753" s="397"/>
    </row>
    <row r="754" spans="1:13" x14ac:dyDescent="0.35">
      <c r="A754" s="299"/>
      <c r="B754" s="895"/>
      <c r="C754" s="131" t="s">
        <v>505</v>
      </c>
      <c r="D754" s="8">
        <v>0</v>
      </c>
      <c r="E754" s="5">
        <v>1</v>
      </c>
      <c r="F754" s="22">
        <v>0</v>
      </c>
      <c r="G754" s="122"/>
      <c r="H754" s="403"/>
      <c r="I754" s="403"/>
      <c r="J754" s="359">
        <f t="shared" si="145"/>
        <v>0</v>
      </c>
      <c r="M754" s="397"/>
    </row>
    <row r="755" spans="1:13" x14ac:dyDescent="0.35">
      <c r="A755" s="299"/>
      <c r="B755" s="895"/>
      <c r="C755" s="131" t="s">
        <v>750</v>
      </c>
      <c r="D755" s="8">
        <v>0</v>
      </c>
      <c r="E755" s="5">
        <v>1</v>
      </c>
      <c r="F755" s="22">
        <v>0</v>
      </c>
      <c r="G755" s="122"/>
      <c r="H755" s="403"/>
      <c r="I755" s="403"/>
      <c r="J755" s="359">
        <f>D755*E755*(F755+G755)</f>
        <v>0</v>
      </c>
      <c r="M755" s="397"/>
    </row>
    <row r="756" spans="1:13" x14ac:dyDescent="0.35">
      <c r="A756" s="299"/>
      <c r="B756" s="895"/>
      <c r="C756" s="131" t="s">
        <v>506</v>
      </c>
      <c r="D756" s="8">
        <v>0</v>
      </c>
      <c r="E756" s="5">
        <v>1</v>
      </c>
      <c r="F756" s="22">
        <v>0</v>
      </c>
      <c r="G756" s="122"/>
      <c r="H756" s="403"/>
      <c r="I756" s="403"/>
      <c r="J756" s="359">
        <f t="shared" si="145"/>
        <v>0</v>
      </c>
      <c r="M756" s="397"/>
    </row>
    <row r="757" spans="1:13" ht="24.75" customHeight="1" x14ac:dyDescent="0.35">
      <c r="A757" s="299"/>
      <c r="B757" s="895"/>
      <c r="C757" s="131" t="s">
        <v>751</v>
      </c>
      <c r="D757" s="8">
        <v>0</v>
      </c>
      <c r="E757" s="5">
        <v>1</v>
      </c>
      <c r="F757" s="22">
        <v>0</v>
      </c>
      <c r="G757" s="122"/>
      <c r="H757" s="403"/>
      <c r="I757" s="403"/>
      <c r="J757" s="359">
        <f t="shared" si="145"/>
        <v>0</v>
      </c>
      <c r="M757" s="397" t="s">
        <v>142</v>
      </c>
    </row>
    <row r="758" spans="1:13" x14ac:dyDescent="0.35">
      <c r="A758" s="299"/>
      <c r="B758" s="895"/>
      <c r="C758" s="131" t="s">
        <v>705</v>
      </c>
      <c r="D758" s="8">
        <v>0</v>
      </c>
      <c r="E758" s="5">
        <v>1</v>
      </c>
      <c r="F758" s="22">
        <v>0</v>
      </c>
      <c r="G758" s="122"/>
      <c r="H758" s="403"/>
      <c r="I758" s="403"/>
      <c r="J758" s="359">
        <f t="shared" si="145"/>
        <v>0</v>
      </c>
    </row>
    <row r="759" spans="1:13" x14ac:dyDescent="0.35">
      <c r="A759" s="299"/>
      <c r="B759" s="895"/>
      <c r="C759" s="124" t="s">
        <v>125</v>
      </c>
      <c r="D759" s="8">
        <v>0</v>
      </c>
      <c r="E759" s="5">
        <v>1</v>
      </c>
      <c r="F759" s="22">
        <v>0</v>
      </c>
      <c r="G759" s="122"/>
      <c r="H759" s="403"/>
      <c r="I759" s="403"/>
      <c r="J759" s="359">
        <f t="shared" si="145"/>
        <v>0</v>
      </c>
    </row>
    <row r="760" spans="1:13" ht="16.5" customHeight="1" x14ac:dyDescent="0.35">
      <c r="A760" s="299"/>
      <c r="B760" s="895"/>
      <c r="C760" s="124" t="s">
        <v>125</v>
      </c>
      <c r="D760" s="8">
        <v>0</v>
      </c>
      <c r="E760" s="5"/>
      <c r="F760" s="22"/>
      <c r="G760" s="122"/>
      <c r="H760" s="404"/>
      <c r="I760" s="404"/>
      <c r="J760" s="359">
        <f t="shared" si="143"/>
        <v>0</v>
      </c>
    </row>
    <row r="761" spans="1:13" x14ac:dyDescent="0.35">
      <c r="A761" s="299"/>
      <c r="B761" s="895"/>
      <c r="C761" s="124" t="s">
        <v>125</v>
      </c>
      <c r="D761" s="8"/>
      <c r="E761" s="5"/>
      <c r="F761" s="22"/>
      <c r="G761" s="122"/>
      <c r="H761" s="358"/>
      <c r="I761" s="358"/>
      <c r="J761" s="359">
        <f t="shared" si="143"/>
        <v>0</v>
      </c>
    </row>
    <row r="762" spans="1:13" x14ac:dyDescent="0.35">
      <c r="A762" s="299"/>
      <c r="B762" s="895"/>
      <c r="C762" s="131"/>
      <c r="D762" s="8"/>
      <c r="E762" s="5"/>
      <c r="F762" s="22"/>
      <c r="G762" s="122"/>
      <c r="H762" s="358"/>
      <c r="I762" s="358"/>
      <c r="J762" s="359">
        <f t="shared" si="143"/>
        <v>0</v>
      </c>
    </row>
    <row r="763" spans="1:13" x14ac:dyDescent="0.35">
      <c r="A763" s="299"/>
      <c r="B763" s="895"/>
      <c r="C763" s="131"/>
      <c r="D763" s="8"/>
      <c r="E763" s="5"/>
      <c r="F763" s="22"/>
      <c r="G763" s="122"/>
      <c r="H763" s="358"/>
      <c r="I763" s="358"/>
      <c r="J763" s="359">
        <f t="shared" si="143"/>
        <v>0</v>
      </c>
    </row>
    <row r="764" spans="1:13" x14ac:dyDescent="0.35">
      <c r="A764" s="299"/>
      <c r="B764" s="895"/>
      <c r="C764" s="131"/>
      <c r="D764" s="8"/>
      <c r="E764" s="5"/>
      <c r="F764" s="22"/>
      <c r="G764" s="122"/>
      <c r="H764" s="358"/>
      <c r="I764" s="358"/>
      <c r="J764" s="359">
        <f t="shared" si="143"/>
        <v>0</v>
      </c>
    </row>
    <row r="765" spans="1:13" x14ac:dyDescent="0.35">
      <c r="A765" s="299"/>
      <c r="B765" s="895"/>
      <c r="C765" s="131"/>
      <c r="D765" s="8"/>
      <c r="E765" s="5"/>
      <c r="F765" s="22"/>
      <c r="G765" s="122"/>
      <c r="H765" s="358"/>
      <c r="I765" s="358"/>
      <c r="J765" s="359">
        <f t="shared" si="143"/>
        <v>0</v>
      </c>
    </row>
    <row r="766" spans="1:13" x14ac:dyDescent="0.35">
      <c r="A766" s="299"/>
      <c r="B766" s="895"/>
      <c r="C766" s="131"/>
      <c r="D766" s="8"/>
      <c r="E766" s="5"/>
      <c r="F766" s="22"/>
      <c r="G766" s="122"/>
      <c r="H766" s="358"/>
      <c r="I766" s="358"/>
      <c r="J766" s="359">
        <f t="shared" si="143"/>
        <v>0</v>
      </c>
    </row>
    <row r="767" spans="1:13" ht="15" thickBot="1" x14ac:dyDescent="0.4">
      <c r="A767" s="299"/>
      <c r="B767" s="895"/>
      <c r="C767" s="137"/>
      <c r="D767" s="138"/>
      <c r="E767" s="114"/>
      <c r="F767" s="139"/>
      <c r="G767" s="128"/>
      <c r="H767" s="362"/>
      <c r="I767" s="362"/>
      <c r="J767" s="374">
        <f t="shared" si="143"/>
        <v>0</v>
      </c>
    </row>
    <row r="768" spans="1:13" ht="29" thickBot="1" x14ac:dyDescent="0.4">
      <c r="A768" s="299"/>
      <c r="B768" s="895"/>
      <c r="C768" s="897" t="str">
        <f>Language!A38</f>
        <v>Equipo (protección personal, materiales, electrónicos y otros…)</v>
      </c>
      <c r="D768" s="898"/>
      <c r="E768" s="898"/>
      <c r="F768" s="898"/>
      <c r="G768" s="898"/>
      <c r="H768" s="898"/>
      <c r="I768" s="898"/>
      <c r="J768" s="899"/>
      <c r="K768" s="343"/>
    </row>
    <row r="769" spans="1:11" ht="43.5" x14ac:dyDescent="0.35">
      <c r="A769" s="299"/>
      <c r="B769" s="895"/>
      <c r="C769" s="398" t="s">
        <v>302</v>
      </c>
      <c r="D769" s="405" t="str">
        <f>Language!A33</f>
        <v>Cantidad []</v>
      </c>
      <c r="E769" s="399" t="str">
        <f>Language!A20</f>
        <v>Dedicación a la prestación del servicio de gestión de los residuos sólidos [%]</v>
      </c>
      <c r="F769" s="406" t="str">
        <f>Language!A34</f>
        <v>Costo unitario [$$$]</v>
      </c>
      <c r="G769" s="407" t="str">
        <f>Language!A35</f>
        <v>Tasa de interés préstamo [%]</v>
      </c>
      <c r="H769" s="405" t="str">
        <f>Language!A36</f>
        <v>Tiempo de vida [años]</v>
      </c>
      <c r="I769" s="407" t="str">
        <f>Language!A37</f>
        <v>Costo unitario por año [$$$/año]</v>
      </c>
      <c r="J769" s="408" t="s">
        <v>301</v>
      </c>
      <c r="K769" s="409"/>
    </row>
    <row r="770" spans="1:11" x14ac:dyDescent="0.35">
      <c r="A770" s="299"/>
      <c r="B770" s="895"/>
      <c r="C770" s="130" t="s">
        <v>438</v>
      </c>
      <c r="D770" s="4">
        <v>0</v>
      </c>
      <c r="E770" s="5">
        <v>1</v>
      </c>
      <c r="F770" s="21">
        <v>0</v>
      </c>
      <c r="G770" s="5">
        <v>0</v>
      </c>
      <c r="H770" s="4">
        <v>0</v>
      </c>
      <c r="I770" s="372">
        <f>IF(H770=0,0,IF(G770=0,E770*F770/H770,(F770*G770*((1+G770)^H770))/(((1+G770)^H770)-1)))</f>
        <v>0</v>
      </c>
      <c r="J770" s="359">
        <f t="shared" ref="J770:J774" si="146">D770*E770*I770</f>
        <v>0</v>
      </c>
    </row>
    <row r="771" spans="1:11" x14ac:dyDescent="0.35">
      <c r="A771" s="299"/>
      <c r="B771" s="895"/>
      <c r="C771" s="130" t="s">
        <v>451</v>
      </c>
      <c r="D771" s="4">
        <v>0</v>
      </c>
      <c r="E771" s="5">
        <v>1</v>
      </c>
      <c r="F771" s="21">
        <v>0</v>
      </c>
      <c r="G771" s="5">
        <v>0</v>
      </c>
      <c r="H771" s="4">
        <v>0</v>
      </c>
      <c r="I771" s="372">
        <f t="shared" ref="I771:I811" si="147">IF(H771=0,0,IF(G771=0,E771*F771/H771,(F771*G771*((1+G771)^H771))/(((1+G771)^H771)-1)))</f>
        <v>0</v>
      </c>
      <c r="J771" s="359">
        <f t="shared" si="146"/>
        <v>0</v>
      </c>
    </row>
    <row r="772" spans="1:11" x14ac:dyDescent="0.35">
      <c r="A772" s="299"/>
      <c r="B772" s="895"/>
      <c r="C772" s="130" t="s">
        <v>447</v>
      </c>
      <c r="D772" s="4">
        <v>0</v>
      </c>
      <c r="E772" s="5">
        <v>1</v>
      </c>
      <c r="F772" s="21">
        <v>0</v>
      </c>
      <c r="G772" s="5">
        <v>0</v>
      </c>
      <c r="H772" s="4">
        <v>0</v>
      </c>
      <c r="I772" s="372">
        <f t="shared" si="147"/>
        <v>0</v>
      </c>
      <c r="J772" s="359">
        <f>D772*E772*I772</f>
        <v>0</v>
      </c>
    </row>
    <row r="773" spans="1:11" x14ac:dyDescent="0.35">
      <c r="A773" s="299"/>
      <c r="B773" s="895"/>
      <c r="C773" s="133" t="s">
        <v>498</v>
      </c>
      <c r="D773" s="4">
        <v>0</v>
      </c>
      <c r="E773" s="5">
        <v>1</v>
      </c>
      <c r="F773" s="21">
        <v>0</v>
      </c>
      <c r="G773" s="5">
        <v>0</v>
      </c>
      <c r="H773" s="4">
        <v>0</v>
      </c>
      <c r="I773" s="372">
        <f t="shared" si="147"/>
        <v>0</v>
      </c>
      <c r="J773" s="359">
        <f t="shared" si="146"/>
        <v>0</v>
      </c>
    </row>
    <row r="774" spans="1:11" x14ac:dyDescent="0.35">
      <c r="A774" s="299"/>
      <c r="B774" s="895"/>
      <c r="C774" s="133" t="s">
        <v>139</v>
      </c>
      <c r="D774" s="4">
        <v>0</v>
      </c>
      <c r="E774" s="5">
        <v>1</v>
      </c>
      <c r="F774" s="21">
        <v>0</v>
      </c>
      <c r="G774" s="5">
        <v>0</v>
      </c>
      <c r="H774" s="4">
        <v>0</v>
      </c>
      <c r="I774" s="372">
        <f t="shared" si="147"/>
        <v>0</v>
      </c>
      <c r="J774" s="359">
        <f t="shared" si="146"/>
        <v>0</v>
      </c>
    </row>
    <row r="775" spans="1:11" x14ac:dyDescent="0.35">
      <c r="A775" s="299"/>
      <c r="B775" s="895"/>
      <c r="C775" s="133" t="s">
        <v>499</v>
      </c>
      <c r="D775" s="4">
        <v>0</v>
      </c>
      <c r="E775" s="5">
        <v>1</v>
      </c>
      <c r="F775" s="21">
        <v>0</v>
      </c>
      <c r="G775" s="5">
        <v>0</v>
      </c>
      <c r="H775" s="4">
        <v>0</v>
      </c>
      <c r="I775" s="372">
        <f t="shared" si="147"/>
        <v>0</v>
      </c>
      <c r="J775" s="359">
        <f t="shared" ref="J775:J798" si="148">D775*E775*I775</f>
        <v>0</v>
      </c>
    </row>
    <row r="776" spans="1:11" x14ac:dyDescent="0.35">
      <c r="A776" s="299"/>
      <c r="B776" s="895"/>
      <c r="C776" s="133" t="s">
        <v>500</v>
      </c>
      <c r="D776" s="4">
        <v>0</v>
      </c>
      <c r="E776" s="5">
        <v>1</v>
      </c>
      <c r="F776" s="21">
        <v>0</v>
      </c>
      <c r="G776" s="5">
        <v>0</v>
      </c>
      <c r="H776" s="4">
        <v>0</v>
      </c>
      <c r="I776" s="372">
        <f t="shared" si="147"/>
        <v>0</v>
      </c>
      <c r="J776" s="359">
        <f t="shared" si="148"/>
        <v>0</v>
      </c>
    </row>
    <row r="777" spans="1:11" x14ac:dyDescent="0.35">
      <c r="A777" s="299"/>
      <c r="B777" s="895"/>
      <c r="C777" s="140" t="s">
        <v>501</v>
      </c>
      <c r="D777" s="4">
        <v>0</v>
      </c>
      <c r="E777" s="5">
        <v>1</v>
      </c>
      <c r="F777" s="21">
        <v>0</v>
      </c>
      <c r="G777" s="5">
        <v>0</v>
      </c>
      <c r="H777" s="4">
        <v>0</v>
      </c>
      <c r="I777" s="372">
        <f t="shared" si="147"/>
        <v>0</v>
      </c>
      <c r="J777" s="359">
        <f t="shared" ref="J777:J787" si="149">D777*E777*I777</f>
        <v>0</v>
      </c>
    </row>
    <row r="778" spans="1:11" x14ac:dyDescent="0.35">
      <c r="A778" s="299"/>
      <c r="B778" s="895"/>
      <c r="C778" s="130" t="s">
        <v>138</v>
      </c>
      <c r="D778" s="4">
        <v>0</v>
      </c>
      <c r="E778" s="5">
        <v>1</v>
      </c>
      <c r="F778" s="21">
        <v>0</v>
      </c>
      <c r="G778" s="5">
        <v>0</v>
      </c>
      <c r="H778" s="4">
        <v>0</v>
      </c>
      <c r="I778" s="372">
        <f t="shared" si="147"/>
        <v>0</v>
      </c>
      <c r="J778" s="359">
        <f t="shared" si="149"/>
        <v>0</v>
      </c>
    </row>
    <row r="779" spans="1:11" x14ac:dyDescent="0.35">
      <c r="A779" s="299"/>
      <c r="B779" s="895"/>
      <c r="C779" s="130" t="s">
        <v>139</v>
      </c>
      <c r="D779" s="4">
        <v>0</v>
      </c>
      <c r="E779" s="5">
        <v>1</v>
      </c>
      <c r="F779" s="21">
        <v>0</v>
      </c>
      <c r="G779" s="5">
        <v>0</v>
      </c>
      <c r="H779" s="4">
        <v>0</v>
      </c>
      <c r="I779" s="372">
        <f t="shared" si="147"/>
        <v>0</v>
      </c>
      <c r="J779" s="359">
        <f t="shared" si="149"/>
        <v>0</v>
      </c>
    </row>
    <row r="780" spans="1:11" x14ac:dyDescent="0.35">
      <c r="A780" s="299"/>
      <c r="B780" s="895"/>
      <c r="C780" s="130" t="s">
        <v>507</v>
      </c>
      <c r="D780" s="4">
        <v>0</v>
      </c>
      <c r="E780" s="5">
        <v>1</v>
      </c>
      <c r="F780" s="21">
        <v>0</v>
      </c>
      <c r="G780" s="5">
        <v>0</v>
      </c>
      <c r="H780" s="4">
        <v>0</v>
      </c>
      <c r="I780" s="372">
        <f t="shared" si="147"/>
        <v>0</v>
      </c>
      <c r="J780" s="359">
        <f t="shared" si="149"/>
        <v>0</v>
      </c>
    </row>
    <row r="781" spans="1:11" x14ac:dyDescent="0.35">
      <c r="A781" s="299"/>
      <c r="B781" s="895"/>
      <c r="C781" s="131" t="s">
        <v>140</v>
      </c>
      <c r="D781" s="4">
        <v>0</v>
      </c>
      <c r="E781" s="5">
        <v>1</v>
      </c>
      <c r="F781" s="21">
        <v>0</v>
      </c>
      <c r="G781" s="5">
        <v>0</v>
      </c>
      <c r="H781" s="4">
        <v>0</v>
      </c>
      <c r="I781" s="372">
        <f t="shared" si="147"/>
        <v>0</v>
      </c>
      <c r="J781" s="359">
        <f t="shared" si="149"/>
        <v>0</v>
      </c>
    </row>
    <row r="782" spans="1:11" x14ac:dyDescent="0.35">
      <c r="A782" s="299"/>
      <c r="B782" s="895"/>
      <c r="C782" s="130" t="s">
        <v>508</v>
      </c>
      <c r="D782" s="4">
        <v>0</v>
      </c>
      <c r="E782" s="5">
        <v>1</v>
      </c>
      <c r="F782" s="21">
        <v>0</v>
      </c>
      <c r="G782" s="5">
        <v>0</v>
      </c>
      <c r="H782" s="4">
        <v>0</v>
      </c>
      <c r="I782" s="372">
        <f t="shared" si="147"/>
        <v>0</v>
      </c>
      <c r="J782" s="359">
        <f t="shared" si="149"/>
        <v>0</v>
      </c>
    </row>
    <row r="783" spans="1:11" x14ac:dyDescent="0.35">
      <c r="A783" s="299"/>
      <c r="B783" s="895"/>
      <c r="C783" s="130" t="s">
        <v>509</v>
      </c>
      <c r="D783" s="4">
        <v>0</v>
      </c>
      <c r="E783" s="5">
        <v>1</v>
      </c>
      <c r="F783" s="21">
        <v>0</v>
      </c>
      <c r="G783" s="5">
        <v>0</v>
      </c>
      <c r="H783" s="4">
        <v>0</v>
      </c>
      <c r="I783" s="372">
        <f t="shared" si="147"/>
        <v>0</v>
      </c>
      <c r="J783" s="359">
        <f t="shared" si="149"/>
        <v>0</v>
      </c>
    </row>
    <row r="784" spans="1:11" x14ac:dyDescent="0.35">
      <c r="A784" s="299"/>
      <c r="B784" s="895"/>
      <c r="C784" s="124" t="s">
        <v>125</v>
      </c>
      <c r="D784" s="4">
        <v>0</v>
      </c>
      <c r="E784" s="5">
        <v>1</v>
      </c>
      <c r="F784" s="21">
        <v>0</v>
      </c>
      <c r="G784" s="5">
        <v>0</v>
      </c>
      <c r="H784" s="4">
        <v>0</v>
      </c>
      <c r="I784" s="372">
        <f t="shared" si="147"/>
        <v>0</v>
      </c>
      <c r="J784" s="359">
        <f t="shared" si="149"/>
        <v>0</v>
      </c>
    </row>
    <row r="785" spans="1:10" x14ac:dyDescent="0.35">
      <c r="A785" s="299"/>
      <c r="B785" s="895"/>
      <c r="C785" s="124" t="s">
        <v>125</v>
      </c>
      <c r="D785" s="4">
        <v>0</v>
      </c>
      <c r="E785" s="5">
        <v>1</v>
      </c>
      <c r="F785" s="21">
        <v>0</v>
      </c>
      <c r="G785" s="5">
        <v>0</v>
      </c>
      <c r="H785" s="4">
        <v>0</v>
      </c>
      <c r="I785" s="372">
        <f t="shared" si="147"/>
        <v>0</v>
      </c>
      <c r="J785" s="359">
        <f t="shared" si="149"/>
        <v>0</v>
      </c>
    </row>
    <row r="786" spans="1:10" x14ac:dyDescent="0.35">
      <c r="A786" s="299"/>
      <c r="B786" s="895"/>
      <c r="C786" s="124" t="s">
        <v>125</v>
      </c>
      <c r="D786" s="4">
        <v>0</v>
      </c>
      <c r="E786" s="5">
        <v>1</v>
      </c>
      <c r="F786" s="21">
        <v>0</v>
      </c>
      <c r="G786" s="5">
        <v>0</v>
      </c>
      <c r="H786" s="4">
        <v>0</v>
      </c>
      <c r="I786" s="372">
        <f t="shared" si="147"/>
        <v>0</v>
      </c>
      <c r="J786" s="359">
        <f t="shared" si="149"/>
        <v>0</v>
      </c>
    </row>
    <row r="787" spans="1:10" x14ac:dyDescent="0.35">
      <c r="A787" s="299"/>
      <c r="B787" s="895"/>
      <c r="C787" s="130" t="s">
        <v>686</v>
      </c>
      <c r="D787" s="4">
        <v>0</v>
      </c>
      <c r="E787" s="5">
        <v>1</v>
      </c>
      <c r="F787" s="21">
        <v>0</v>
      </c>
      <c r="G787" s="5">
        <v>0</v>
      </c>
      <c r="H787" s="4">
        <v>0</v>
      </c>
      <c r="I787" s="372">
        <f t="shared" si="147"/>
        <v>0</v>
      </c>
      <c r="J787" s="359">
        <f t="shared" si="149"/>
        <v>0</v>
      </c>
    </row>
    <row r="788" spans="1:10" x14ac:dyDescent="0.35">
      <c r="A788" s="299"/>
      <c r="B788" s="895"/>
      <c r="C788" s="131" t="s">
        <v>686</v>
      </c>
      <c r="D788" s="4">
        <v>0</v>
      </c>
      <c r="E788" s="5">
        <v>1</v>
      </c>
      <c r="F788" s="21">
        <v>0</v>
      </c>
      <c r="G788" s="5">
        <v>0</v>
      </c>
      <c r="H788" s="4">
        <v>0</v>
      </c>
      <c r="I788" s="372">
        <f t="shared" si="147"/>
        <v>0</v>
      </c>
      <c r="J788" s="359">
        <f t="shared" ref="J788:J797" si="150">D788*E788*I788</f>
        <v>0</v>
      </c>
    </row>
    <row r="789" spans="1:10" x14ac:dyDescent="0.35">
      <c r="A789" s="299"/>
      <c r="B789" s="895"/>
      <c r="C789" s="130" t="s">
        <v>686</v>
      </c>
      <c r="D789" s="4">
        <v>0</v>
      </c>
      <c r="E789" s="5">
        <v>1</v>
      </c>
      <c r="F789" s="21">
        <v>0</v>
      </c>
      <c r="G789" s="5">
        <v>0</v>
      </c>
      <c r="H789" s="4">
        <v>0</v>
      </c>
      <c r="I789" s="372">
        <f t="shared" si="147"/>
        <v>0</v>
      </c>
      <c r="J789" s="359">
        <f t="shared" si="150"/>
        <v>0</v>
      </c>
    </row>
    <row r="790" spans="1:10" x14ac:dyDescent="0.35">
      <c r="A790" s="299"/>
      <c r="B790" s="895"/>
      <c r="C790" s="130" t="s">
        <v>686</v>
      </c>
      <c r="D790" s="4">
        <v>0</v>
      </c>
      <c r="E790" s="5">
        <v>1</v>
      </c>
      <c r="F790" s="21">
        <v>0</v>
      </c>
      <c r="G790" s="7">
        <v>0</v>
      </c>
      <c r="H790" s="4">
        <v>0</v>
      </c>
      <c r="I790" s="372">
        <f t="shared" si="147"/>
        <v>0</v>
      </c>
      <c r="J790" s="359">
        <f t="shared" si="150"/>
        <v>0</v>
      </c>
    </row>
    <row r="791" spans="1:10" x14ac:dyDescent="0.35">
      <c r="A791" s="299"/>
      <c r="B791" s="895"/>
      <c r="C791" s="130" t="s">
        <v>686</v>
      </c>
      <c r="D791" s="4">
        <v>0</v>
      </c>
      <c r="E791" s="5">
        <v>1</v>
      </c>
      <c r="F791" s="21">
        <v>0</v>
      </c>
      <c r="G791" s="7">
        <v>0</v>
      </c>
      <c r="H791" s="4">
        <v>0</v>
      </c>
      <c r="I791" s="372">
        <f t="shared" si="147"/>
        <v>0</v>
      </c>
      <c r="J791" s="359">
        <f t="shared" ref="J791:J793" si="151">D791*E791*I791</f>
        <v>0</v>
      </c>
    </row>
    <row r="792" spans="1:10" x14ac:dyDescent="0.35">
      <c r="A792" s="299"/>
      <c r="B792" s="895"/>
      <c r="C792" s="130"/>
      <c r="D792" s="6"/>
      <c r="E792" s="7"/>
      <c r="F792" s="21"/>
      <c r="G792" s="7"/>
      <c r="H792" s="6"/>
      <c r="I792" s="372">
        <f t="shared" si="147"/>
        <v>0</v>
      </c>
      <c r="J792" s="359">
        <f>D792*E792*I792</f>
        <v>0</v>
      </c>
    </row>
    <row r="793" spans="1:10" x14ac:dyDescent="0.35">
      <c r="A793" s="299"/>
      <c r="B793" s="895"/>
      <c r="C793" s="130"/>
      <c r="D793" s="6"/>
      <c r="E793" s="7"/>
      <c r="F793" s="21"/>
      <c r="G793" s="7"/>
      <c r="H793" s="6"/>
      <c r="I793" s="372">
        <f t="shared" si="147"/>
        <v>0</v>
      </c>
      <c r="J793" s="359">
        <f t="shared" si="151"/>
        <v>0</v>
      </c>
    </row>
    <row r="794" spans="1:10" x14ac:dyDescent="0.35">
      <c r="A794" s="299"/>
      <c r="B794" s="895"/>
      <c r="C794" s="130"/>
      <c r="D794" s="6"/>
      <c r="E794" s="7"/>
      <c r="F794" s="21"/>
      <c r="G794" s="7"/>
      <c r="H794" s="6"/>
      <c r="I794" s="372">
        <f t="shared" si="147"/>
        <v>0</v>
      </c>
      <c r="J794" s="359">
        <f t="shared" si="150"/>
        <v>0</v>
      </c>
    </row>
    <row r="795" spans="1:10" x14ac:dyDescent="0.35">
      <c r="A795" s="299"/>
      <c r="B795" s="895"/>
      <c r="C795" s="130"/>
      <c r="D795" s="6"/>
      <c r="E795" s="7"/>
      <c r="F795" s="21"/>
      <c r="G795" s="7"/>
      <c r="H795" s="6"/>
      <c r="I795" s="372">
        <f t="shared" si="147"/>
        <v>0</v>
      </c>
      <c r="J795" s="359">
        <f t="shared" si="150"/>
        <v>0</v>
      </c>
    </row>
    <row r="796" spans="1:10" x14ac:dyDescent="0.35">
      <c r="A796" s="299"/>
      <c r="B796" s="895"/>
      <c r="C796" s="130"/>
      <c r="D796" s="6"/>
      <c r="E796" s="7"/>
      <c r="F796" s="21"/>
      <c r="G796" s="7"/>
      <c r="H796" s="6"/>
      <c r="I796" s="372">
        <f t="shared" si="147"/>
        <v>0</v>
      </c>
      <c r="J796" s="359">
        <f t="shared" si="150"/>
        <v>0</v>
      </c>
    </row>
    <row r="797" spans="1:10" x14ac:dyDescent="0.35">
      <c r="A797" s="299"/>
      <c r="B797" s="895"/>
      <c r="C797" s="130"/>
      <c r="D797" s="6"/>
      <c r="E797" s="7"/>
      <c r="F797" s="21"/>
      <c r="G797" s="7"/>
      <c r="H797" s="6"/>
      <c r="I797" s="372">
        <f t="shared" si="147"/>
        <v>0</v>
      </c>
      <c r="J797" s="359">
        <f t="shared" si="150"/>
        <v>0</v>
      </c>
    </row>
    <row r="798" spans="1:10" x14ac:dyDescent="0.35">
      <c r="A798" s="299"/>
      <c r="B798" s="895"/>
      <c r="C798" s="130"/>
      <c r="D798" s="4"/>
      <c r="E798" s="5"/>
      <c r="F798" s="21"/>
      <c r="G798" s="5"/>
      <c r="H798" s="4"/>
      <c r="I798" s="372">
        <f t="shared" si="147"/>
        <v>0</v>
      </c>
      <c r="J798" s="359">
        <f t="shared" si="148"/>
        <v>0</v>
      </c>
    </row>
    <row r="799" spans="1:10" x14ac:dyDescent="0.35">
      <c r="A799" s="299"/>
      <c r="B799" s="895"/>
      <c r="C799" s="130"/>
      <c r="D799" s="4"/>
      <c r="E799" s="5"/>
      <c r="F799" s="21"/>
      <c r="G799" s="5"/>
      <c r="H799" s="4"/>
      <c r="I799" s="372">
        <f t="shared" si="147"/>
        <v>0</v>
      </c>
      <c r="J799" s="359">
        <f t="shared" ref="J799:J801" si="152">D799*E799*I799</f>
        <v>0</v>
      </c>
    </row>
    <row r="800" spans="1:10" x14ac:dyDescent="0.35">
      <c r="A800" s="299"/>
      <c r="B800" s="895"/>
      <c r="C800" s="133"/>
      <c r="D800" s="4"/>
      <c r="E800" s="5"/>
      <c r="F800" s="21"/>
      <c r="G800" s="5"/>
      <c r="H800" s="4"/>
      <c r="I800" s="372">
        <f t="shared" si="147"/>
        <v>0</v>
      </c>
      <c r="J800" s="359">
        <f t="shared" si="152"/>
        <v>0</v>
      </c>
    </row>
    <row r="801" spans="1:11" x14ac:dyDescent="0.35">
      <c r="A801" s="299"/>
      <c r="B801" s="895"/>
      <c r="C801" s="133"/>
      <c r="D801" s="4"/>
      <c r="E801" s="5"/>
      <c r="F801" s="21"/>
      <c r="G801" s="5"/>
      <c r="H801" s="4"/>
      <c r="I801" s="372">
        <f t="shared" si="147"/>
        <v>0</v>
      </c>
      <c r="J801" s="359">
        <f t="shared" si="152"/>
        <v>0</v>
      </c>
    </row>
    <row r="802" spans="1:11" x14ac:dyDescent="0.35">
      <c r="A802" s="299"/>
      <c r="B802" s="895"/>
      <c r="C802" s="133"/>
      <c r="D802" s="4"/>
      <c r="E802" s="5"/>
      <c r="F802" s="21"/>
      <c r="G802" s="5"/>
      <c r="H802" s="4"/>
      <c r="I802" s="372">
        <f t="shared" si="147"/>
        <v>0</v>
      </c>
      <c r="J802" s="359">
        <f t="shared" ref="J802:J804" si="153">D802*E802*I802</f>
        <v>0</v>
      </c>
    </row>
    <row r="803" spans="1:11" x14ac:dyDescent="0.35">
      <c r="A803" s="299"/>
      <c r="B803" s="895"/>
      <c r="C803" s="133"/>
      <c r="D803" s="4"/>
      <c r="E803" s="5"/>
      <c r="F803" s="21"/>
      <c r="G803" s="5"/>
      <c r="H803" s="4"/>
      <c r="I803" s="372">
        <f t="shared" si="147"/>
        <v>0</v>
      </c>
      <c r="J803" s="359">
        <f t="shared" si="153"/>
        <v>0</v>
      </c>
    </row>
    <row r="804" spans="1:11" x14ac:dyDescent="0.35">
      <c r="A804" s="299"/>
      <c r="B804" s="895"/>
      <c r="C804" s="133"/>
      <c r="D804" s="4"/>
      <c r="E804" s="5"/>
      <c r="F804" s="21"/>
      <c r="G804" s="5"/>
      <c r="H804" s="4"/>
      <c r="I804" s="372">
        <f t="shared" si="147"/>
        <v>0</v>
      </c>
      <c r="J804" s="359">
        <f t="shared" si="153"/>
        <v>0</v>
      </c>
    </row>
    <row r="805" spans="1:11" x14ac:dyDescent="0.35">
      <c r="A805" s="299"/>
      <c r="B805" s="895"/>
      <c r="C805" s="140"/>
      <c r="D805" s="4"/>
      <c r="E805" s="5"/>
      <c r="F805" s="21"/>
      <c r="G805" s="5"/>
      <c r="H805" s="4"/>
      <c r="I805" s="372">
        <f t="shared" si="147"/>
        <v>0</v>
      </c>
      <c r="J805" s="359">
        <f t="shared" ref="J805:J810" si="154">D805*E805*I805</f>
        <v>0</v>
      </c>
    </row>
    <row r="806" spans="1:11" x14ac:dyDescent="0.35">
      <c r="A806" s="299"/>
      <c r="B806" s="895"/>
      <c r="C806" s="130"/>
      <c r="D806" s="4"/>
      <c r="E806" s="5"/>
      <c r="F806" s="21"/>
      <c r="G806" s="5"/>
      <c r="H806" s="4"/>
      <c r="I806" s="372">
        <f t="shared" si="147"/>
        <v>0</v>
      </c>
      <c r="J806" s="359">
        <f t="shared" si="154"/>
        <v>0</v>
      </c>
    </row>
    <row r="807" spans="1:11" x14ac:dyDescent="0.35">
      <c r="A807" s="299"/>
      <c r="B807" s="895"/>
      <c r="C807" s="130"/>
      <c r="D807" s="4"/>
      <c r="E807" s="5"/>
      <c r="F807" s="21"/>
      <c r="G807" s="5"/>
      <c r="H807" s="4"/>
      <c r="I807" s="372">
        <f t="shared" si="147"/>
        <v>0</v>
      </c>
      <c r="J807" s="359">
        <f t="shared" si="154"/>
        <v>0</v>
      </c>
    </row>
    <row r="808" spans="1:11" x14ac:dyDescent="0.35">
      <c r="A808" s="299"/>
      <c r="B808" s="895"/>
      <c r="C808" s="130"/>
      <c r="D808" s="4"/>
      <c r="E808" s="5"/>
      <c r="F808" s="21"/>
      <c r="G808" s="5"/>
      <c r="H808" s="4"/>
      <c r="I808" s="372">
        <f t="shared" si="147"/>
        <v>0</v>
      </c>
      <c r="J808" s="359">
        <f t="shared" si="154"/>
        <v>0</v>
      </c>
    </row>
    <row r="809" spans="1:11" x14ac:dyDescent="0.35">
      <c r="A809" s="299"/>
      <c r="B809" s="895"/>
      <c r="C809" s="131"/>
      <c r="D809" s="4"/>
      <c r="E809" s="5"/>
      <c r="F809" s="21"/>
      <c r="G809" s="5"/>
      <c r="H809" s="4"/>
      <c r="I809" s="372">
        <f t="shared" si="147"/>
        <v>0</v>
      </c>
      <c r="J809" s="359">
        <f t="shared" si="154"/>
        <v>0</v>
      </c>
    </row>
    <row r="810" spans="1:11" x14ac:dyDescent="0.35">
      <c r="A810" s="299"/>
      <c r="B810" s="895"/>
      <c r="C810" s="130"/>
      <c r="D810" s="4"/>
      <c r="E810" s="5"/>
      <c r="F810" s="21"/>
      <c r="G810" s="5"/>
      <c r="H810" s="4"/>
      <c r="I810" s="372">
        <f t="shared" si="147"/>
        <v>0</v>
      </c>
      <c r="J810" s="359">
        <f t="shared" si="154"/>
        <v>0</v>
      </c>
    </row>
    <row r="811" spans="1:11" ht="15" thickBot="1" x14ac:dyDescent="0.4">
      <c r="A811" s="299"/>
      <c r="B811" s="895"/>
      <c r="C811" s="132"/>
      <c r="D811" s="113"/>
      <c r="E811" s="114"/>
      <c r="F811" s="120"/>
      <c r="G811" s="114"/>
      <c r="H811" s="113"/>
      <c r="I811" s="373">
        <f t="shared" si="147"/>
        <v>0</v>
      </c>
      <c r="J811" s="374">
        <f t="shared" ref="J811" si="155">D811*E811*I811</f>
        <v>0</v>
      </c>
    </row>
    <row r="812" spans="1:11" ht="29" thickBot="1" x14ac:dyDescent="0.4">
      <c r="A812" s="299"/>
      <c r="B812" s="895"/>
      <c r="C812" s="900" t="str">
        <f>Language!A39</f>
        <v>Infraestructura, diseño y terrenos</v>
      </c>
      <c r="D812" s="901"/>
      <c r="E812" s="901"/>
      <c r="F812" s="901"/>
      <c r="G812" s="901"/>
      <c r="H812" s="901"/>
      <c r="I812" s="901"/>
      <c r="J812" s="902"/>
      <c r="K812" s="343"/>
    </row>
    <row r="813" spans="1:11" ht="43.5" x14ac:dyDescent="0.35">
      <c r="A813" s="299"/>
      <c r="B813" s="895"/>
      <c r="C813" s="398" t="s">
        <v>302</v>
      </c>
      <c r="D813" s="405" t="str">
        <f>Language!A33</f>
        <v>Cantidad []</v>
      </c>
      <c r="E813" s="399" t="str">
        <f>Language!A20</f>
        <v>Dedicación a la prestación del servicio de gestión de los residuos sólidos [%]</v>
      </c>
      <c r="F813" s="406" t="str">
        <f>Language!A34</f>
        <v>Costo unitario [$$$]</v>
      </c>
      <c r="G813" s="407" t="str">
        <f>Language!A35</f>
        <v>Tasa de interés préstamo [%]</v>
      </c>
      <c r="H813" s="405" t="str">
        <f>Language!A36</f>
        <v>Tiempo de vida [años]</v>
      </c>
      <c r="I813" s="407" t="str">
        <f>Language!A37</f>
        <v>Costo unitario por año [$$$/año]</v>
      </c>
      <c r="J813" s="408" t="s">
        <v>301</v>
      </c>
      <c r="K813" s="409"/>
    </row>
    <row r="814" spans="1:11" x14ac:dyDescent="0.35">
      <c r="A814" s="299"/>
      <c r="B814" s="895"/>
      <c r="C814" s="130" t="s">
        <v>510</v>
      </c>
      <c r="D814" s="6">
        <v>0</v>
      </c>
      <c r="E814" s="7">
        <v>1</v>
      </c>
      <c r="F814" s="42">
        <v>0</v>
      </c>
      <c r="G814" s="7">
        <v>0</v>
      </c>
      <c r="H814" s="61">
        <v>0</v>
      </c>
      <c r="I814" s="372">
        <f t="shared" ref="I814:I823" si="156">IF(H814=0,0,IF(G814=0,E814*F814/H814,(F814*G814*((1+G814)^H814))/(((1+G814)^H814)-1)))</f>
        <v>0</v>
      </c>
      <c r="J814" s="410">
        <f>D814*E814*I814</f>
        <v>0</v>
      </c>
      <c r="K814" s="411"/>
    </row>
    <row r="815" spans="1:11" x14ac:dyDescent="0.35">
      <c r="A815" s="299"/>
      <c r="B815" s="895"/>
      <c r="C815" s="124" t="s">
        <v>125</v>
      </c>
      <c r="D815" s="6">
        <v>0</v>
      </c>
      <c r="E815" s="7">
        <v>1</v>
      </c>
      <c r="F815" s="21">
        <v>0</v>
      </c>
      <c r="G815" s="7">
        <v>0</v>
      </c>
      <c r="H815" s="6">
        <v>0</v>
      </c>
      <c r="I815" s="372">
        <f t="shared" si="156"/>
        <v>0</v>
      </c>
      <c r="J815" s="410">
        <f t="shared" ref="J815:J818" si="157">D815*E815*I815</f>
        <v>0</v>
      </c>
      <c r="K815" s="411"/>
    </row>
    <row r="816" spans="1:11" x14ac:dyDescent="0.35">
      <c r="A816" s="299"/>
      <c r="B816" s="895"/>
      <c r="C816" s="124" t="s">
        <v>125</v>
      </c>
      <c r="D816" s="6"/>
      <c r="E816" s="7"/>
      <c r="F816" s="21"/>
      <c r="G816" s="7"/>
      <c r="H816" s="6"/>
      <c r="I816" s="372">
        <f t="shared" si="156"/>
        <v>0</v>
      </c>
      <c r="J816" s="410">
        <f t="shared" ref="J816:J817" si="158">D816*E816*I816</f>
        <v>0</v>
      </c>
      <c r="K816" s="411"/>
    </row>
    <row r="817" spans="1:11" x14ac:dyDescent="0.35">
      <c r="A817" s="299"/>
      <c r="B817" s="895"/>
      <c r="C817" s="124" t="s">
        <v>125</v>
      </c>
      <c r="D817" s="6"/>
      <c r="E817" s="7"/>
      <c r="F817" s="21"/>
      <c r="G817" s="7"/>
      <c r="H817" s="6"/>
      <c r="I817" s="372">
        <f t="shared" si="156"/>
        <v>0</v>
      </c>
      <c r="J817" s="410">
        <f t="shared" si="158"/>
        <v>0</v>
      </c>
      <c r="K817" s="411"/>
    </row>
    <row r="818" spans="1:11" x14ac:dyDescent="0.35">
      <c r="A818" s="299"/>
      <c r="B818" s="895"/>
      <c r="C818" s="130"/>
      <c r="D818" s="6"/>
      <c r="E818" s="7"/>
      <c r="F818" s="21"/>
      <c r="G818" s="7"/>
      <c r="H818" s="6"/>
      <c r="I818" s="372">
        <f t="shared" si="156"/>
        <v>0</v>
      </c>
      <c r="J818" s="410">
        <f t="shared" si="157"/>
        <v>0</v>
      </c>
      <c r="K818" s="411"/>
    </row>
    <row r="819" spans="1:11" x14ac:dyDescent="0.35">
      <c r="A819" s="299"/>
      <c r="B819" s="895"/>
      <c r="C819" s="130"/>
      <c r="D819" s="6"/>
      <c r="E819" s="7"/>
      <c r="F819" s="21"/>
      <c r="G819" s="7"/>
      <c r="H819" s="6"/>
      <c r="I819" s="372">
        <f t="shared" si="156"/>
        <v>0</v>
      </c>
      <c r="J819" s="410">
        <f t="shared" ref="J819:J820" si="159">D819*E819*I819</f>
        <v>0</v>
      </c>
      <c r="K819" s="411"/>
    </row>
    <row r="820" spans="1:11" x14ac:dyDescent="0.35">
      <c r="A820" s="299"/>
      <c r="B820" s="895"/>
      <c r="C820" s="130"/>
      <c r="D820" s="6"/>
      <c r="E820" s="7"/>
      <c r="F820" s="21"/>
      <c r="G820" s="7"/>
      <c r="H820" s="6"/>
      <c r="I820" s="372">
        <f t="shared" si="156"/>
        <v>0</v>
      </c>
      <c r="J820" s="410">
        <f t="shared" si="159"/>
        <v>0</v>
      </c>
      <c r="K820" s="411"/>
    </row>
    <row r="821" spans="1:11" x14ac:dyDescent="0.35">
      <c r="A821" s="299"/>
      <c r="B821" s="895"/>
      <c r="C821" s="130"/>
      <c r="D821" s="6"/>
      <c r="E821" s="7"/>
      <c r="F821" s="21"/>
      <c r="G821" s="7"/>
      <c r="H821" s="6"/>
      <c r="I821" s="372">
        <f t="shared" si="156"/>
        <v>0</v>
      </c>
      <c r="J821" s="410">
        <f>D821*E821*I821</f>
        <v>0</v>
      </c>
      <c r="K821" s="411"/>
    </row>
    <row r="822" spans="1:11" x14ac:dyDescent="0.35">
      <c r="A822" s="299"/>
      <c r="B822" s="895"/>
      <c r="C822" s="130"/>
      <c r="D822" s="6"/>
      <c r="E822" s="7"/>
      <c r="F822" s="21"/>
      <c r="G822" s="7"/>
      <c r="H822" s="6"/>
      <c r="I822" s="372">
        <f t="shared" si="156"/>
        <v>0</v>
      </c>
      <c r="J822" s="410">
        <f>D822*E822*I822</f>
        <v>0</v>
      </c>
      <c r="K822" s="411"/>
    </row>
    <row r="823" spans="1:11" ht="15" thickBot="1" x14ac:dyDescent="0.4">
      <c r="A823" s="299"/>
      <c r="B823" s="895"/>
      <c r="C823" s="132"/>
      <c r="D823" s="113"/>
      <c r="E823" s="114"/>
      <c r="F823" s="116"/>
      <c r="G823" s="114"/>
      <c r="H823" s="117"/>
      <c r="I823" s="373">
        <f t="shared" si="156"/>
        <v>0</v>
      </c>
      <c r="J823" s="412">
        <f t="shared" ref="J823" si="160">D823*E823*I823</f>
        <v>0</v>
      </c>
      <c r="K823" s="411"/>
    </row>
    <row r="824" spans="1:11" ht="29" thickBot="1" x14ac:dyDescent="0.4">
      <c r="A824" s="299"/>
      <c r="B824" s="895"/>
      <c r="C824" s="900" t="str">
        <f>Language!A40</f>
        <v>Operación y mantenimiento</v>
      </c>
      <c r="D824" s="901"/>
      <c r="E824" s="901"/>
      <c r="F824" s="901"/>
      <c r="G824" s="901"/>
      <c r="H824" s="901"/>
      <c r="I824" s="901"/>
      <c r="J824" s="902"/>
      <c r="K824" s="343"/>
    </row>
    <row r="825" spans="1:11" ht="43.5" x14ac:dyDescent="0.35">
      <c r="A825" s="299"/>
      <c r="B825" s="895"/>
      <c r="C825" s="398" t="s">
        <v>589</v>
      </c>
      <c r="D825" s="405" t="str">
        <f>Language!A33</f>
        <v>Cantidad []</v>
      </c>
      <c r="E825" s="399" t="str">
        <f>Language!A20</f>
        <v>Dedicación a la prestación del servicio de gestión de los residuos sólidos [%]</v>
      </c>
      <c r="F825" s="406" t="str">
        <f>Language!A34</f>
        <v>Costo unitario [$$$]</v>
      </c>
      <c r="G825" s="413" t="s">
        <v>301</v>
      </c>
      <c r="H825" s="413" t="s">
        <v>302</v>
      </c>
      <c r="I825" s="414" t="s">
        <v>303</v>
      </c>
      <c r="J825" s="415" t="s">
        <v>304</v>
      </c>
      <c r="K825" s="409"/>
    </row>
    <row r="826" spans="1:11" x14ac:dyDescent="0.35">
      <c r="A826" s="299"/>
      <c r="B826" s="895"/>
      <c r="C826" s="130" t="s">
        <v>133</v>
      </c>
      <c r="D826" s="38">
        <v>0</v>
      </c>
      <c r="E826" s="39">
        <v>1</v>
      </c>
      <c r="F826" s="40">
        <v>0</v>
      </c>
      <c r="G826" s="387"/>
      <c r="H826" s="358"/>
      <c r="I826" s="388"/>
      <c r="J826" s="359">
        <f t="shared" ref="J826:J837" si="161">D826*E826*F826</f>
        <v>0</v>
      </c>
    </row>
    <row r="827" spans="1:11" x14ac:dyDescent="0.35">
      <c r="A827" s="299"/>
      <c r="B827" s="895"/>
      <c r="C827" s="130" t="s">
        <v>134</v>
      </c>
      <c r="D827" s="38">
        <v>0</v>
      </c>
      <c r="E827" s="39">
        <v>1</v>
      </c>
      <c r="F827" s="40">
        <v>0</v>
      </c>
      <c r="G827" s="387"/>
      <c r="H827" s="358"/>
      <c r="I827" s="388"/>
      <c r="J827" s="359">
        <f t="shared" ref="J827:J830" si="162">D827*E827*F827</f>
        <v>0</v>
      </c>
    </row>
    <row r="828" spans="1:11" x14ac:dyDescent="0.35">
      <c r="A828" s="299"/>
      <c r="B828" s="895"/>
      <c r="C828" s="130" t="s">
        <v>511</v>
      </c>
      <c r="D828" s="38">
        <v>0</v>
      </c>
      <c r="E828" s="39">
        <v>1</v>
      </c>
      <c r="F828" s="40">
        <v>0</v>
      </c>
      <c r="G828" s="387"/>
      <c r="H828" s="358"/>
      <c r="I828" s="388"/>
      <c r="J828" s="359">
        <f t="shared" si="162"/>
        <v>0</v>
      </c>
    </row>
    <row r="829" spans="1:11" x14ac:dyDescent="0.35">
      <c r="A829" s="299"/>
      <c r="B829" s="895"/>
      <c r="C829" s="130" t="s">
        <v>147</v>
      </c>
      <c r="D829" s="38">
        <v>0</v>
      </c>
      <c r="E829" s="39">
        <v>1</v>
      </c>
      <c r="F829" s="40">
        <v>0</v>
      </c>
      <c r="G829" s="387"/>
      <c r="H829" s="358"/>
      <c r="I829" s="388"/>
      <c r="J829" s="359">
        <f t="shared" si="162"/>
        <v>0</v>
      </c>
    </row>
    <row r="830" spans="1:11" x14ac:dyDescent="0.35">
      <c r="A830" s="299"/>
      <c r="B830" s="895"/>
      <c r="C830" s="130" t="s">
        <v>512</v>
      </c>
      <c r="D830" s="38">
        <v>0</v>
      </c>
      <c r="E830" s="39">
        <v>1</v>
      </c>
      <c r="F830" s="40">
        <v>0</v>
      </c>
      <c r="G830" s="387"/>
      <c r="H830" s="358"/>
      <c r="I830" s="388"/>
      <c r="J830" s="359">
        <f t="shared" si="162"/>
        <v>0</v>
      </c>
    </row>
    <row r="831" spans="1:11" x14ac:dyDescent="0.35">
      <c r="A831" s="299"/>
      <c r="B831" s="895"/>
      <c r="C831" s="130" t="s">
        <v>513</v>
      </c>
      <c r="D831" s="38">
        <v>0</v>
      </c>
      <c r="E831" s="39">
        <v>1</v>
      </c>
      <c r="F831" s="40">
        <v>0</v>
      </c>
      <c r="G831" s="387"/>
      <c r="H831" s="358"/>
      <c r="I831" s="388"/>
      <c r="J831" s="359">
        <f>D831*E831*F831</f>
        <v>0</v>
      </c>
    </row>
    <row r="832" spans="1:11" x14ac:dyDescent="0.35">
      <c r="A832" s="299"/>
      <c r="B832" s="895"/>
      <c r="C832" s="124" t="s">
        <v>125</v>
      </c>
      <c r="D832" s="4"/>
      <c r="E832" s="5"/>
      <c r="F832" s="21"/>
      <c r="G832" s="387"/>
      <c r="H832" s="358"/>
      <c r="I832" s="388"/>
      <c r="J832" s="359">
        <f t="shared" ref="J832:J835" si="163">D832*E832*F832</f>
        <v>0</v>
      </c>
    </row>
    <row r="833" spans="1:11" x14ac:dyDescent="0.35">
      <c r="A833" s="299"/>
      <c r="B833" s="895"/>
      <c r="C833" s="124" t="s">
        <v>125</v>
      </c>
      <c r="D833" s="4"/>
      <c r="E833" s="5"/>
      <c r="F833" s="21"/>
      <c r="G833" s="387"/>
      <c r="H833" s="358"/>
      <c r="I833" s="388"/>
      <c r="J833" s="359">
        <f t="shared" si="163"/>
        <v>0</v>
      </c>
    </row>
    <row r="834" spans="1:11" x14ac:dyDescent="0.35">
      <c r="A834" s="299"/>
      <c r="B834" s="895"/>
      <c r="C834" s="124" t="s">
        <v>125</v>
      </c>
      <c r="D834" s="4"/>
      <c r="E834" s="5"/>
      <c r="F834" s="21"/>
      <c r="G834" s="387"/>
      <c r="H834" s="358"/>
      <c r="I834" s="388"/>
      <c r="J834" s="359">
        <f t="shared" si="163"/>
        <v>0</v>
      </c>
    </row>
    <row r="835" spans="1:11" x14ac:dyDescent="0.35">
      <c r="A835" s="299"/>
      <c r="B835" s="895"/>
      <c r="C835" s="129"/>
      <c r="D835" s="65"/>
      <c r="E835" s="5"/>
      <c r="F835" s="21"/>
      <c r="G835" s="387"/>
      <c r="H835" s="358"/>
      <c r="I835" s="388"/>
      <c r="J835" s="359">
        <f t="shared" si="163"/>
        <v>0</v>
      </c>
    </row>
    <row r="836" spans="1:11" x14ac:dyDescent="0.35">
      <c r="A836" s="299"/>
      <c r="B836" s="895"/>
      <c r="C836" s="130"/>
      <c r="D836" s="38"/>
      <c r="E836" s="39"/>
      <c r="F836" s="40"/>
      <c r="G836" s="387"/>
      <c r="H836" s="358"/>
      <c r="I836" s="388"/>
      <c r="J836" s="359">
        <f t="shared" si="161"/>
        <v>0</v>
      </c>
    </row>
    <row r="837" spans="1:11" ht="15" thickBot="1" x14ac:dyDescent="0.4">
      <c r="A837" s="299"/>
      <c r="B837" s="896"/>
      <c r="C837" s="132"/>
      <c r="D837" s="141"/>
      <c r="E837" s="142"/>
      <c r="F837" s="116"/>
      <c r="G837" s="390"/>
      <c r="H837" s="362"/>
      <c r="I837" s="391"/>
      <c r="J837" s="374">
        <f t="shared" si="161"/>
        <v>0</v>
      </c>
    </row>
    <row r="838" spans="1:11" s="299" customFormat="1" ht="15" thickBot="1" x14ac:dyDescent="0.4">
      <c r="C838" s="393"/>
      <c r="E838" s="394"/>
      <c r="F838" s="395"/>
      <c r="G838" s="394"/>
      <c r="I838" s="396"/>
      <c r="J838" s="357"/>
      <c r="K838" s="357"/>
    </row>
    <row r="839" spans="1:11" ht="29" thickBot="1" x14ac:dyDescent="0.4">
      <c r="A839" s="299"/>
      <c r="B839" s="867" t="str">
        <f>Language!A42</f>
        <v>Planificación y fiscalización del servicio</v>
      </c>
      <c r="C839" s="873" t="str">
        <f>Language!A18</f>
        <v>Personal</v>
      </c>
      <c r="D839" s="874"/>
      <c r="E839" s="874"/>
      <c r="F839" s="874"/>
      <c r="G839" s="874"/>
      <c r="H839" s="874"/>
      <c r="I839" s="874"/>
      <c r="J839" s="875"/>
      <c r="K839" s="343"/>
    </row>
    <row r="840" spans="1:11" ht="44" thickBot="1" x14ac:dyDescent="0.4">
      <c r="A840" s="299"/>
      <c r="B840" s="868"/>
      <c r="C840" s="416" t="s">
        <v>302</v>
      </c>
      <c r="D840" s="417" t="str">
        <f>Language!A19</f>
        <v>Cantidad de personas empleadas en cargo específico</v>
      </c>
      <c r="E840" s="417" t="str">
        <f>Language!A20</f>
        <v>Dedicación a la prestación del servicio de gestión de los residuos sólidos [%]</v>
      </c>
      <c r="F840" s="418" t="str">
        <f>Language!A21</f>
        <v>Salario anual [$$$/año]</v>
      </c>
      <c r="G840" s="417" t="str">
        <f>Language!A22</f>
        <v>Beneficios sociales y seguros [$$$/año]</v>
      </c>
      <c r="H840" s="417"/>
      <c r="I840" s="419" t="s">
        <v>301</v>
      </c>
      <c r="J840" s="420" t="str">
        <f>Language!A23</f>
        <v>Costo total por año [$$$/año]</v>
      </c>
      <c r="K840" s="350"/>
    </row>
    <row r="841" spans="1:11" x14ac:dyDescent="0.35">
      <c r="A841" s="299"/>
      <c r="B841" s="868"/>
      <c r="C841" s="124" t="s">
        <v>752</v>
      </c>
      <c r="D841" s="4">
        <v>1</v>
      </c>
      <c r="E841" s="5">
        <v>1</v>
      </c>
      <c r="F841" s="21">
        <v>1200000</v>
      </c>
      <c r="G841" s="122"/>
      <c r="H841" s="358"/>
      <c r="I841" s="358"/>
      <c r="J841" s="359">
        <f t="shared" ref="J841:J855" si="164">D841*E841*(F841+G841)</f>
        <v>1200000</v>
      </c>
    </row>
    <row r="842" spans="1:11" x14ac:dyDescent="0.35">
      <c r="A842" s="299"/>
      <c r="B842" s="868"/>
      <c r="C842" s="124" t="s">
        <v>753</v>
      </c>
      <c r="D842" s="4"/>
      <c r="E842" s="5"/>
      <c r="F842" s="21"/>
      <c r="G842" s="122"/>
      <c r="H842" s="358"/>
      <c r="I842" s="358"/>
      <c r="J842" s="359">
        <f t="shared" ref="J842:J847" si="165">D842*E842*(F842+G842)</f>
        <v>0</v>
      </c>
    </row>
    <row r="843" spans="1:11" x14ac:dyDescent="0.35">
      <c r="A843" s="299"/>
      <c r="B843" s="868"/>
      <c r="C843" s="124" t="s">
        <v>125</v>
      </c>
      <c r="D843" s="4"/>
      <c r="E843" s="5"/>
      <c r="F843" s="21"/>
      <c r="G843" s="122"/>
      <c r="H843" s="358"/>
      <c r="I843" s="358"/>
      <c r="J843" s="359">
        <f t="shared" si="165"/>
        <v>0</v>
      </c>
    </row>
    <row r="844" spans="1:11" x14ac:dyDescent="0.35">
      <c r="A844" s="299"/>
      <c r="B844" s="868"/>
      <c r="C844" s="124" t="s">
        <v>125</v>
      </c>
      <c r="D844" s="4"/>
      <c r="E844" s="5"/>
      <c r="F844" s="21"/>
      <c r="G844" s="122"/>
      <c r="H844" s="358"/>
      <c r="I844" s="358"/>
      <c r="J844" s="359">
        <f t="shared" si="165"/>
        <v>0</v>
      </c>
    </row>
    <row r="845" spans="1:11" x14ac:dyDescent="0.35">
      <c r="A845" s="299"/>
      <c r="B845" s="868"/>
      <c r="C845" s="124" t="s">
        <v>125</v>
      </c>
      <c r="D845" s="4"/>
      <c r="E845" s="5"/>
      <c r="F845" s="21"/>
      <c r="G845" s="122"/>
      <c r="H845" s="358"/>
      <c r="I845" s="358"/>
      <c r="J845" s="359">
        <f t="shared" si="165"/>
        <v>0</v>
      </c>
    </row>
    <row r="846" spans="1:11" x14ac:dyDescent="0.35">
      <c r="A846" s="299"/>
      <c r="B846" s="868"/>
      <c r="C846" s="124"/>
      <c r="D846" s="4"/>
      <c r="E846" s="5"/>
      <c r="F846" s="21"/>
      <c r="G846" s="122"/>
      <c r="H846" s="358"/>
      <c r="I846" s="358"/>
      <c r="J846" s="359">
        <f>D846*E846*(F846+G846)</f>
        <v>0</v>
      </c>
    </row>
    <row r="847" spans="1:11" x14ac:dyDescent="0.35">
      <c r="A847" s="299"/>
      <c r="B847" s="868"/>
      <c r="C847" s="124"/>
      <c r="D847" s="4"/>
      <c r="E847" s="5"/>
      <c r="F847" s="21"/>
      <c r="G847" s="122"/>
      <c r="H847" s="358"/>
      <c r="I847" s="358"/>
      <c r="J847" s="359">
        <f t="shared" si="165"/>
        <v>0</v>
      </c>
    </row>
    <row r="848" spans="1:11" x14ac:dyDescent="0.35">
      <c r="A848" s="299"/>
      <c r="B848" s="868"/>
      <c r="C848" s="124"/>
      <c r="D848" s="4"/>
      <c r="E848" s="5"/>
      <c r="F848" s="21"/>
      <c r="G848" s="122"/>
      <c r="H848" s="358"/>
      <c r="I848" s="358"/>
      <c r="J848" s="359">
        <f t="shared" ref="J848:J849" si="166">D848*E848*(F848+G848)</f>
        <v>0</v>
      </c>
    </row>
    <row r="849" spans="1:11" x14ac:dyDescent="0.35">
      <c r="A849" s="299"/>
      <c r="B849" s="868"/>
      <c r="C849" s="124"/>
      <c r="D849" s="4"/>
      <c r="E849" s="5"/>
      <c r="F849" s="21"/>
      <c r="G849" s="122"/>
      <c r="H849" s="358"/>
      <c r="I849" s="358"/>
      <c r="J849" s="359">
        <f t="shared" si="166"/>
        <v>0</v>
      </c>
    </row>
    <row r="850" spans="1:11" x14ac:dyDescent="0.35">
      <c r="A850" s="299"/>
      <c r="B850" s="868"/>
      <c r="C850" s="124"/>
      <c r="D850" s="4"/>
      <c r="E850" s="5"/>
      <c r="F850" s="21"/>
      <c r="G850" s="122"/>
      <c r="H850" s="358"/>
      <c r="I850" s="358"/>
      <c r="J850" s="359">
        <f t="shared" ref="J850:J851" si="167">D850*E850*(F850+G850)</f>
        <v>0</v>
      </c>
    </row>
    <row r="851" spans="1:11" x14ac:dyDescent="0.35">
      <c r="A851" s="299"/>
      <c r="B851" s="868"/>
      <c r="C851" s="124"/>
      <c r="D851" s="4"/>
      <c r="E851" s="5"/>
      <c r="F851" s="21"/>
      <c r="G851" s="122"/>
      <c r="H851" s="358"/>
      <c r="I851" s="358"/>
      <c r="J851" s="359">
        <f t="shared" si="167"/>
        <v>0</v>
      </c>
    </row>
    <row r="852" spans="1:11" x14ac:dyDescent="0.35">
      <c r="A852" s="299"/>
      <c r="B852" s="868"/>
      <c r="C852" s="124"/>
      <c r="D852" s="4"/>
      <c r="E852" s="5"/>
      <c r="F852" s="21"/>
      <c r="G852" s="122"/>
      <c r="H852" s="358"/>
      <c r="I852" s="358"/>
      <c r="J852" s="359">
        <f t="shared" ref="J852:J853" si="168">D852*E852*(F852+G852)</f>
        <v>0</v>
      </c>
    </row>
    <row r="853" spans="1:11" x14ac:dyDescent="0.35">
      <c r="A853" s="299"/>
      <c r="B853" s="868"/>
      <c r="C853" s="124"/>
      <c r="D853" s="4"/>
      <c r="E853" s="5"/>
      <c r="F853" s="21"/>
      <c r="G853" s="122"/>
      <c r="H853" s="358"/>
      <c r="I853" s="358"/>
      <c r="J853" s="359">
        <f t="shared" si="168"/>
        <v>0</v>
      </c>
    </row>
    <row r="854" spans="1:11" x14ac:dyDescent="0.35">
      <c r="A854" s="299"/>
      <c r="B854" s="868"/>
      <c r="C854" s="124"/>
      <c r="D854" s="4"/>
      <c r="E854" s="5"/>
      <c r="F854" s="21"/>
      <c r="G854" s="122"/>
      <c r="H854" s="358"/>
      <c r="I854" s="358"/>
      <c r="J854" s="359">
        <f t="shared" si="164"/>
        <v>0</v>
      </c>
    </row>
    <row r="855" spans="1:11" ht="15" thickBot="1" x14ac:dyDescent="0.4">
      <c r="A855" s="299"/>
      <c r="B855" s="868"/>
      <c r="C855" s="126"/>
      <c r="D855" s="113"/>
      <c r="E855" s="114"/>
      <c r="F855" s="120"/>
      <c r="G855" s="128"/>
      <c r="H855" s="362"/>
      <c r="I855" s="362"/>
      <c r="J855" s="374">
        <f t="shared" si="164"/>
        <v>0</v>
      </c>
    </row>
    <row r="856" spans="1:11" ht="29" thickBot="1" x14ac:dyDescent="0.4">
      <c r="A856" s="299"/>
      <c r="B856" s="868"/>
      <c r="C856" s="864" t="str">
        <f>Language!A38</f>
        <v>Equipo (protección personal, materiales, electrónicos y otros…)</v>
      </c>
      <c r="D856" s="865"/>
      <c r="E856" s="865"/>
      <c r="F856" s="865"/>
      <c r="G856" s="865"/>
      <c r="H856" s="865"/>
      <c r="I856" s="865"/>
      <c r="J856" s="866"/>
      <c r="K856" s="343"/>
    </row>
    <row r="857" spans="1:11" ht="43.5" x14ac:dyDescent="0.35">
      <c r="A857" s="299"/>
      <c r="B857" s="868"/>
      <c r="C857" s="416" t="s">
        <v>302</v>
      </c>
      <c r="D857" s="421" t="str">
        <f>Language!A33</f>
        <v>Cantidad []</v>
      </c>
      <c r="E857" s="417" t="str">
        <f>Language!A20</f>
        <v>Dedicación a la prestación del servicio de gestión de los residuos sólidos [%]</v>
      </c>
      <c r="F857" s="422" t="str">
        <f>Language!A34</f>
        <v>Costo unitario [$$$]</v>
      </c>
      <c r="G857" s="423" t="str">
        <f>Language!A35</f>
        <v>Tasa de interés préstamo [%]</v>
      </c>
      <c r="H857" s="421" t="str">
        <f>Language!A36</f>
        <v>Tiempo de vida [años]</v>
      </c>
      <c r="I857" s="423" t="str">
        <f>Language!A37</f>
        <v>Costo unitario por año [$$$/año]</v>
      </c>
      <c r="J857" s="424" t="s">
        <v>301</v>
      </c>
      <c r="K857" s="425"/>
    </row>
    <row r="858" spans="1:11" x14ac:dyDescent="0.35">
      <c r="A858" s="299"/>
      <c r="B858" s="868"/>
      <c r="C858" s="130" t="s">
        <v>754</v>
      </c>
      <c r="D858" s="4">
        <v>0</v>
      </c>
      <c r="E858" s="5">
        <v>1</v>
      </c>
      <c r="F858" s="21">
        <v>0</v>
      </c>
      <c r="G858" s="5">
        <v>0</v>
      </c>
      <c r="H858" s="4">
        <v>0</v>
      </c>
      <c r="I858" s="372">
        <f t="shared" ref="I858:I873" si="169">IF(H858=0,0,IF(G858=0,E858*F858/H858,(F858*G858*((1+G858)^H858))/(((1+G858)^H858)-1)))</f>
        <v>0</v>
      </c>
      <c r="J858" s="359">
        <f t="shared" ref="J858:J873" si="170">D858*E858*I858</f>
        <v>0</v>
      </c>
    </row>
    <row r="859" spans="1:11" x14ac:dyDescent="0.35">
      <c r="A859" s="299"/>
      <c r="B859" s="868"/>
      <c r="C859" s="130" t="s">
        <v>755</v>
      </c>
      <c r="D859" s="4"/>
      <c r="E859" s="5"/>
      <c r="F859" s="21"/>
      <c r="G859" s="5"/>
      <c r="H859" s="4"/>
      <c r="I859" s="372">
        <f t="shared" si="169"/>
        <v>0</v>
      </c>
      <c r="J859" s="359">
        <f t="shared" ref="J859:J862" si="171">D859*E859*I859</f>
        <v>0</v>
      </c>
    </row>
    <row r="860" spans="1:11" x14ac:dyDescent="0.35">
      <c r="A860" s="299"/>
      <c r="B860" s="868"/>
      <c r="C860" s="124" t="s">
        <v>125</v>
      </c>
      <c r="D860" s="4"/>
      <c r="E860" s="5"/>
      <c r="F860" s="21"/>
      <c r="G860" s="5"/>
      <c r="H860" s="4"/>
      <c r="I860" s="372">
        <f t="shared" si="169"/>
        <v>0</v>
      </c>
      <c r="J860" s="359">
        <f t="shared" si="171"/>
        <v>0</v>
      </c>
    </row>
    <row r="861" spans="1:11" x14ac:dyDescent="0.35">
      <c r="A861" s="299"/>
      <c r="B861" s="868"/>
      <c r="C861" s="124" t="s">
        <v>125</v>
      </c>
      <c r="D861" s="4"/>
      <c r="E861" s="5"/>
      <c r="F861" s="21"/>
      <c r="G861" s="5"/>
      <c r="H861" s="4"/>
      <c r="I861" s="372">
        <f t="shared" si="169"/>
        <v>0</v>
      </c>
      <c r="J861" s="359">
        <f t="shared" si="171"/>
        <v>0</v>
      </c>
    </row>
    <row r="862" spans="1:11" x14ac:dyDescent="0.35">
      <c r="A862" s="299"/>
      <c r="B862" s="868"/>
      <c r="C862" s="124" t="s">
        <v>125</v>
      </c>
      <c r="D862" s="4"/>
      <c r="E862" s="5"/>
      <c r="F862" s="21"/>
      <c r="G862" s="5"/>
      <c r="H862" s="4"/>
      <c r="I862" s="372">
        <f t="shared" si="169"/>
        <v>0</v>
      </c>
      <c r="J862" s="359">
        <f t="shared" si="171"/>
        <v>0</v>
      </c>
    </row>
    <row r="863" spans="1:11" x14ac:dyDescent="0.35">
      <c r="A863" s="299"/>
      <c r="B863" s="868"/>
      <c r="C863" s="130"/>
      <c r="D863" s="4"/>
      <c r="E863" s="5"/>
      <c r="F863" s="21"/>
      <c r="G863" s="5"/>
      <c r="H863" s="4"/>
      <c r="I863" s="372">
        <f t="shared" si="169"/>
        <v>0</v>
      </c>
      <c r="J863" s="359">
        <f t="shared" ref="J863:J867" si="172">D863*E863*I863</f>
        <v>0</v>
      </c>
    </row>
    <row r="864" spans="1:11" x14ac:dyDescent="0.35">
      <c r="A864" s="299"/>
      <c r="B864" s="868"/>
      <c r="C864" s="130"/>
      <c r="D864" s="4"/>
      <c r="E864" s="5"/>
      <c r="F864" s="21"/>
      <c r="G864" s="5"/>
      <c r="H864" s="4"/>
      <c r="I864" s="372">
        <f t="shared" si="169"/>
        <v>0</v>
      </c>
      <c r="J864" s="359">
        <f t="shared" si="172"/>
        <v>0</v>
      </c>
    </row>
    <row r="865" spans="1:11" x14ac:dyDescent="0.35">
      <c r="A865" s="299"/>
      <c r="B865" s="868"/>
      <c r="C865" s="130"/>
      <c r="D865" s="4"/>
      <c r="E865" s="5"/>
      <c r="F865" s="21"/>
      <c r="G865" s="5"/>
      <c r="H865" s="4"/>
      <c r="I865" s="372">
        <f t="shared" si="169"/>
        <v>0</v>
      </c>
      <c r="J865" s="359">
        <f t="shared" si="172"/>
        <v>0</v>
      </c>
    </row>
    <row r="866" spans="1:11" x14ac:dyDescent="0.35">
      <c r="A866" s="299"/>
      <c r="B866" s="868"/>
      <c r="C866" s="134"/>
      <c r="D866" s="4"/>
      <c r="E866" s="5"/>
      <c r="F866" s="47"/>
      <c r="G866" s="5"/>
      <c r="H866" s="4"/>
      <c r="I866" s="372">
        <f>IF(H866=0,0,IF(G866=0,E866*F866/H866,(F866*G866*((1+G866)^H866))/(((1+G866)^H866)-1)))</f>
        <v>0</v>
      </c>
      <c r="J866" s="359">
        <f>D866*E866*I866</f>
        <v>0</v>
      </c>
    </row>
    <row r="867" spans="1:11" x14ac:dyDescent="0.35">
      <c r="A867" s="299"/>
      <c r="B867" s="868"/>
      <c r="C867" s="130"/>
      <c r="D867" s="4"/>
      <c r="E867" s="5"/>
      <c r="F867" s="21"/>
      <c r="G867" s="5"/>
      <c r="H867" s="4"/>
      <c r="I867" s="372">
        <f t="shared" si="169"/>
        <v>0</v>
      </c>
      <c r="J867" s="359">
        <f t="shared" si="172"/>
        <v>0</v>
      </c>
    </row>
    <row r="868" spans="1:11" x14ac:dyDescent="0.35">
      <c r="A868" s="299"/>
      <c r="B868" s="868"/>
      <c r="C868" s="130"/>
      <c r="D868" s="4"/>
      <c r="E868" s="5"/>
      <c r="F868" s="21"/>
      <c r="G868" s="5"/>
      <c r="H868" s="4"/>
      <c r="I868" s="372">
        <f t="shared" si="169"/>
        <v>0</v>
      </c>
      <c r="J868" s="359">
        <f t="shared" ref="J868:J869" si="173">D868*E868*I868</f>
        <v>0</v>
      </c>
    </row>
    <row r="869" spans="1:11" x14ac:dyDescent="0.35">
      <c r="A869" s="299"/>
      <c r="B869" s="868"/>
      <c r="C869" s="130"/>
      <c r="D869" s="4"/>
      <c r="E869" s="5"/>
      <c r="F869" s="21"/>
      <c r="G869" s="5"/>
      <c r="H869" s="4"/>
      <c r="I869" s="372">
        <f t="shared" si="169"/>
        <v>0</v>
      </c>
      <c r="J869" s="359">
        <f t="shared" si="173"/>
        <v>0</v>
      </c>
    </row>
    <row r="870" spans="1:11" x14ac:dyDescent="0.35">
      <c r="A870" s="299"/>
      <c r="B870" s="868"/>
      <c r="C870" s="130"/>
      <c r="D870" s="4"/>
      <c r="E870" s="5"/>
      <c r="F870" s="21"/>
      <c r="G870" s="5"/>
      <c r="H870" s="4"/>
      <c r="I870" s="372">
        <f t="shared" si="169"/>
        <v>0</v>
      </c>
      <c r="J870" s="359">
        <f t="shared" ref="J870:J871" si="174">D870*E870*I870</f>
        <v>0</v>
      </c>
    </row>
    <row r="871" spans="1:11" x14ac:dyDescent="0.35">
      <c r="A871" s="299"/>
      <c r="B871" s="868"/>
      <c r="C871" s="130"/>
      <c r="D871" s="4"/>
      <c r="E871" s="5"/>
      <c r="F871" s="21"/>
      <c r="G871" s="5"/>
      <c r="H871" s="4"/>
      <c r="I871" s="372">
        <f t="shared" si="169"/>
        <v>0</v>
      </c>
      <c r="J871" s="359">
        <f t="shared" si="174"/>
        <v>0</v>
      </c>
    </row>
    <row r="872" spans="1:11" x14ac:dyDescent="0.35">
      <c r="A872" s="299"/>
      <c r="B872" s="868"/>
      <c r="C872" s="130"/>
      <c r="D872" s="4"/>
      <c r="E872" s="5"/>
      <c r="F872" s="21"/>
      <c r="G872" s="5"/>
      <c r="H872" s="4"/>
      <c r="I872" s="372">
        <f t="shared" si="169"/>
        <v>0</v>
      </c>
      <c r="J872" s="359">
        <f>D872*E872*I872</f>
        <v>0</v>
      </c>
    </row>
    <row r="873" spans="1:11" ht="15" thickBot="1" x14ac:dyDescent="0.4">
      <c r="A873" s="299"/>
      <c r="B873" s="868"/>
      <c r="C873" s="132"/>
      <c r="D873" s="118"/>
      <c r="E873" s="119"/>
      <c r="F873" s="120"/>
      <c r="G873" s="119"/>
      <c r="H873" s="118"/>
      <c r="I873" s="373">
        <f t="shared" si="169"/>
        <v>0</v>
      </c>
      <c r="J873" s="374">
        <f t="shared" si="170"/>
        <v>0</v>
      </c>
    </row>
    <row r="874" spans="1:11" ht="29" thickBot="1" x14ac:dyDescent="0.4">
      <c r="A874" s="299"/>
      <c r="B874" s="868"/>
      <c r="C874" s="870" t="str">
        <f>Language!A39</f>
        <v>Infraestructura, diseño y terrenos</v>
      </c>
      <c r="D874" s="871"/>
      <c r="E874" s="871"/>
      <c r="F874" s="871"/>
      <c r="G874" s="871"/>
      <c r="H874" s="871"/>
      <c r="I874" s="871"/>
      <c r="J874" s="872"/>
      <c r="K874" s="343"/>
    </row>
    <row r="875" spans="1:11" ht="43.5" x14ac:dyDescent="0.35">
      <c r="A875" s="299"/>
      <c r="B875" s="868"/>
      <c r="C875" s="426" t="s">
        <v>302</v>
      </c>
      <c r="D875" s="427" t="str">
        <f>Language!A33</f>
        <v>Cantidad []</v>
      </c>
      <c r="E875" s="428" t="str">
        <f>Language!A20</f>
        <v>Dedicación a la prestación del servicio de gestión de los residuos sólidos [%]</v>
      </c>
      <c r="F875" s="429" t="str">
        <f>Language!A34</f>
        <v>Costo unitario [$$$]</v>
      </c>
      <c r="G875" s="430" t="str">
        <f>Language!A35</f>
        <v>Tasa de interés préstamo [%]</v>
      </c>
      <c r="H875" s="427" t="str">
        <f>Language!A36</f>
        <v>Tiempo de vida [años]</v>
      </c>
      <c r="I875" s="430" t="str">
        <f>Language!A37</f>
        <v>Costo unitario por año [$$$/año]</v>
      </c>
      <c r="J875" s="431" t="s">
        <v>301</v>
      </c>
      <c r="K875" s="425"/>
    </row>
    <row r="876" spans="1:11" x14ac:dyDescent="0.35">
      <c r="A876" s="299"/>
      <c r="B876" s="868"/>
      <c r="C876" s="130" t="s">
        <v>756</v>
      </c>
      <c r="D876" s="6">
        <v>0</v>
      </c>
      <c r="E876" s="7">
        <v>1</v>
      </c>
      <c r="F876" s="21">
        <v>0</v>
      </c>
      <c r="G876" s="7">
        <v>0</v>
      </c>
      <c r="H876" s="6">
        <v>0</v>
      </c>
      <c r="I876" s="372">
        <f t="shared" ref="I876:I885" si="175">IF(H876=0,0,IF(G876=0,E876*F876/H876,(F876*G876*((1+G876)^H876))/(((1+G876)^H876)-1)))</f>
        <v>0</v>
      </c>
      <c r="J876" s="359">
        <f t="shared" ref="J876" si="176">D876*E876*I876</f>
        <v>0</v>
      </c>
    </row>
    <row r="877" spans="1:11" x14ac:dyDescent="0.35">
      <c r="A877" s="299"/>
      <c r="B877" s="868"/>
      <c r="C877" s="124" t="s">
        <v>125</v>
      </c>
      <c r="D877" s="6"/>
      <c r="E877" s="7"/>
      <c r="F877" s="21"/>
      <c r="G877" s="7"/>
      <c r="H877" s="6"/>
      <c r="I877" s="372">
        <f t="shared" si="175"/>
        <v>0</v>
      </c>
      <c r="J877" s="359">
        <f t="shared" ref="J877:J879" si="177">D877*E877*I877</f>
        <v>0</v>
      </c>
    </row>
    <row r="878" spans="1:11" x14ac:dyDescent="0.35">
      <c r="A878" s="299"/>
      <c r="B878" s="868"/>
      <c r="C878" s="124" t="s">
        <v>125</v>
      </c>
      <c r="D878" s="6"/>
      <c r="E878" s="7"/>
      <c r="F878" s="21"/>
      <c r="G878" s="7"/>
      <c r="H878" s="6"/>
      <c r="I878" s="372">
        <f>IF(H878=0,0,IF(G878=0,E878*F878/H878,(F878*G878*((1+G878)^H878))/(((1+G878)^H878)-1)))</f>
        <v>0</v>
      </c>
      <c r="J878" s="359">
        <f t="shared" si="177"/>
        <v>0</v>
      </c>
    </row>
    <row r="879" spans="1:11" x14ac:dyDescent="0.35">
      <c r="A879" s="299"/>
      <c r="B879" s="868"/>
      <c r="C879" s="124" t="s">
        <v>125</v>
      </c>
      <c r="D879" s="6"/>
      <c r="E879" s="7"/>
      <c r="F879" s="21"/>
      <c r="G879" s="7"/>
      <c r="H879" s="6"/>
      <c r="I879" s="372">
        <f t="shared" si="175"/>
        <v>0</v>
      </c>
      <c r="J879" s="359">
        <f t="shared" si="177"/>
        <v>0</v>
      </c>
    </row>
    <row r="880" spans="1:11" x14ac:dyDescent="0.35">
      <c r="A880" s="299"/>
      <c r="B880" s="868"/>
      <c r="C880" s="130"/>
      <c r="D880" s="6"/>
      <c r="E880" s="7"/>
      <c r="F880" s="21"/>
      <c r="G880" s="7"/>
      <c r="H880" s="6"/>
      <c r="I880" s="372">
        <f t="shared" si="175"/>
        <v>0</v>
      </c>
      <c r="J880" s="359">
        <f t="shared" ref="J880:J882" si="178">D880*E880*I880</f>
        <v>0</v>
      </c>
    </row>
    <row r="881" spans="1:11" x14ac:dyDescent="0.35">
      <c r="A881" s="299"/>
      <c r="B881" s="868"/>
      <c r="C881" s="130"/>
      <c r="D881" s="6"/>
      <c r="E881" s="7"/>
      <c r="F881" s="21"/>
      <c r="G881" s="7"/>
      <c r="H881" s="6"/>
      <c r="I881" s="372">
        <f t="shared" si="175"/>
        <v>0</v>
      </c>
      <c r="J881" s="359">
        <f t="shared" si="178"/>
        <v>0</v>
      </c>
    </row>
    <row r="882" spans="1:11" x14ac:dyDescent="0.35">
      <c r="A882" s="299"/>
      <c r="B882" s="868"/>
      <c r="C882" s="130"/>
      <c r="D882" s="6"/>
      <c r="E882" s="7"/>
      <c r="F882" s="21"/>
      <c r="G882" s="7"/>
      <c r="H882" s="6"/>
      <c r="I882" s="372">
        <f t="shared" si="175"/>
        <v>0</v>
      </c>
      <c r="J882" s="359">
        <f t="shared" si="178"/>
        <v>0</v>
      </c>
    </row>
    <row r="883" spans="1:11" x14ac:dyDescent="0.35">
      <c r="A883" s="299"/>
      <c r="B883" s="868"/>
      <c r="C883" s="130"/>
      <c r="D883" s="6"/>
      <c r="E883" s="7"/>
      <c r="F883" s="21"/>
      <c r="G883" s="7"/>
      <c r="H883" s="6"/>
      <c r="I883" s="372">
        <f t="shared" si="175"/>
        <v>0</v>
      </c>
      <c r="J883" s="359">
        <f>D883*E883*I883</f>
        <v>0</v>
      </c>
    </row>
    <row r="884" spans="1:11" x14ac:dyDescent="0.35">
      <c r="A884" s="299"/>
      <c r="B884" s="868"/>
      <c r="C884" s="130"/>
      <c r="D884" s="6"/>
      <c r="E884" s="7"/>
      <c r="F884" s="21"/>
      <c r="G884" s="7"/>
      <c r="H884" s="6"/>
      <c r="I884" s="372">
        <f t="shared" si="175"/>
        <v>0</v>
      </c>
      <c r="J884" s="359">
        <f>D884*E884*I884</f>
        <v>0</v>
      </c>
    </row>
    <row r="885" spans="1:11" ht="15" thickBot="1" x14ac:dyDescent="0.4">
      <c r="A885" s="299"/>
      <c r="B885" s="868"/>
      <c r="C885" s="132"/>
      <c r="D885" s="113"/>
      <c r="E885" s="114"/>
      <c r="F885" s="120"/>
      <c r="G885" s="114"/>
      <c r="H885" s="113"/>
      <c r="I885" s="373">
        <f t="shared" si="175"/>
        <v>0</v>
      </c>
      <c r="J885" s="374">
        <f t="shared" ref="J885" si="179">D885*E885*I885</f>
        <v>0</v>
      </c>
    </row>
    <row r="886" spans="1:11" ht="29" thickBot="1" x14ac:dyDescent="0.4">
      <c r="A886" s="299"/>
      <c r="B886" s="868"/>
      <c r="C886" s="873" t="str">
        <f>Language!A40</f>
        <v>Operación y mantenimiento</v>
      </c>
      <c r="D886" s="874"/>
      <c r="E886" s="874"/>
      <c r="F886" s="874"/>
      <c r="G886" s="874"/>
      <c r="H886" s="874"/>
      <c r="I886" s="874"/>
      <c r="J886" s="875"/>
      <c r="K886" s="343"/>
    </row>
    <row r="887" spans="1:11" ht="43.5" x14ac:dyDescent="0.35">
      <c r="A887" s="299"/>
      <c r="B887" s="868"/>
      <c r="C887" s="416" t="s">
        <v>589</v>
      </c>
      <c r="D887" s="421" t="str">
        <f>Language!A33</f>
        <v>Cantidad []</v>
      </c>
      <c r="E887" s="417" t="str">
        <f>Language!A20</f>
        <v>Dedicación a la prestación del servicio de gestión de los residuos sólidos [%]</v>
      </c>
      <c r="F887" s="422" t="str">
        <f>Language!A34</f>
        <v>Costo unitario [$$$]</v>
      </c>
      <c r="G887" s="432" t="s">
        <v>301</v>
      </c>
      <c r="H887" s="432" t="s">
        <v>302</v>
      </c>
      <c r="I887" s="433" t="s">
        <v>303</v>
      </c>
      <c r="J887" s="424" t="s">
        <v>304</v>
      </c>
      <c r="K887" s="425"/>
    </row>
    <row r="888" spans="1:11" x14ac:dyDescent="0.35">
      <c r="A888" s="299"/>
      <c r="B888" s="868"/>
      <c r="C888" s="130" t="s">
        <v>743</v>
      </c>
      <c r="D888" s="4">
        <v>0</v>
      </c>
      <c r="E888" s="5">
        <v>1</v>
      </c>
      <c r="F888" s="21">
        <v>0</v>
      </c>
      <c r="G888" s="387"/>
      <c r="H888" s="358"/>
      <c r="I888" s="388"/>
      <c r="J888" s="359">
        <f t="shared" ref="J888" si="180">D888*E888*F888</f>
        <v>0</v>
      </c>
    </row>
    <row r="889" spans="1:11" x14ac:dyDescent="0.35">
      <c r="A889" s="299"/>
      <c r="B889" s="868"/>
      <c r="C889" s="130" t="s">
        <v>757</v>
      </c>
      <c r="D889" s="4"/>
      <c r="E889" s="5"/>
      <c r="F889" s="21"/>
      <c r="G889" s="387"/>
      <c r="H889" s="358"/>
      <c r="I889" s="388"/>
      <c r="J889" s="359">
        <f t="shared" ref="J889:J892" si="181">D889*E889*F889</f>
        <v>0</v>
      </c>
    </row>
    <row r="890" spans="1:11" x14ac:dyDescent="0.35">
      <c r="A890" s="299"/>
      <c r="B890" s="868"/>
      <c r="C890" s="124" t="s">
        <v>125</v>
      </c>
      <c r="D890" s="4"/>
      <c r="E890" s="5"/>
      <c r="F890" s="21"/>
      <c r="G890" s="387"/>
      <c r="H890" s="358"/>
      <c r="I890" s="388"/>
      <c r="J890" s="359">
        <f t="shared" si="181"/>
        <v>0</v>
      </c>
    </row>
    <row r="891" spans="1:11" x14ac:dyDescent="0.35">
      <c r="A891" s="299"/>
      <c r="B891" s="868"/>
      <c r="C891" s="124" t="s">
        <v>125</v>
      </c>
      <c r="D891" s="4"/>
      <c r="E891" s="5"/>
      <c r="F891" s="21"/>
      <c r="G891" s="387"/>
      <c r="H891" s="358"/>
      <c r="I891" s="388"/>
      <c r="J891" s="359">
        <f t="shared" si="181"/>
        <v>0</v>
      </c>
    </row>
    <row r="892" spans="1:11" x14ac:dyDescent="0.35">
      <c r="A892" s="299"/>
      <c r="B892" s="868"/>
      <c r="C892" s="124" t="s">
        <v>125</v>
      </c>
      <c r="D892" s="4"/>
      <c r="E892" s="5"/>
      <c r="F892" s="21"/>
      <c r="G892" s="387"/>
      <c r="H892" s="358"/>
      <c r="I892" s="388"/>
      <c r="J892" s="359">
        <f t="shared" si="181"/>
        <v>0</v>
      </c>
    </row>
    <row r="893" spans="1:11" x14ac:dyDescent="0.35">
      <c r="A893" s="299"/>
      <c r="B893" s="868"/>
      <c r="C893" s="130"/>
      <c r="D893" s="4"/>
      <c r="E893" s="5"/>
      <c r="F893" s="21"/>
      <c r="G893" s="387"/>
      <c r="H893" s="358"/>
      <c r="I893" s="388"/>
      <c r="J893" s="359">
        <f t="shared" ref="J893:J895" si="182">D893*E893*F893</f>
        <v>0</v>
      </c>
    </row>
    <row r="894" spans="1:11" x14ac:dyDescent="0.35">
      <c r="A894" s="299"/>
      <c r="B894" s="868"/>
      <c r="C894" s="130"/>
      <c r="D894" s="4"/>
      <c r="E894" s="5"/>
      <c r="F894" s="21"/>
      <c r="G894" s="387"/>
      <c r="H894" s="358"/>
      <c r="I894" s="388"/>
      <c r="J894" s="359">
        <f t="shared" si="182"/>
        <v>0</v>
      </c>
    </row>
    <row r="895" spans="1:11" x14ac:dyDescent="0.35">
      <c r="A895" s="299"/>
      <c r="B895" s="868"/>
      <c r="C895" s="130"/>
      <c r="D895" s="4"/>
      <c r="E895" s="5"/>
      <c r="F895" s="21"/>
      <c r="G895" s="387"/>
      <c r="H895" s="358"/>
      <c r="I895" s="388"/>
      <c r="J895" s="359">
        <f t="shared" si="182"/>
        <v>0</v>
      </c>
    </row>
    <row r="896" spans="1:11" x14ac:dyDescent="0.35">
      <c r="A896" s="299"/>
      <c r="B896" s="868"/>
      <c r="C896" s="130"/>
      <c r="D896" s="4"/>
      <c r="E896" s="5"/>
      <c r="F896" s="21"/>
      <c r="G896" s="387"/>
      <c r="H896" s="358"/>
      <c r="I896" s="388"/>
      <c r="J896" s="359">
        <f t="shared" ref="J896:J898" si="183">D896*E896*F896</f>
        <v>0</v>
      </c>
    </row>
    <row r="897" spans="1:11" x14ac:dyDescent="0.35">
      <c r="A897" s="299"/>
      <c r="B897" s="868"/>
      <c r="C897" s="130"/>
      <c r="D897" s="4"/>
      <c r="E897" s="5"/>
      <c r="F897" s="21"/>
      <c r="G897" s="387"/>
      <c r="H897" s="358"/>
      <c r="I897" s="388"/>
      <c r="J897" s="359">
        <f t="shared" si="183"/>
        <v>0</v>
      </c>
    </row>
    <row r="898" spans="1:11" x14ac:dyDescent="0.35">
      <c r="A898" s="299"/>
      <c r="B898" s="868"/>
      <c r="C898" s="130"/>
      <c r="D898" s="4"/>
      <c r="E898" s="5"/>
      <c r="F898" s="21"/>
      <c r="G898" s="387"/>
      <c r="H898" s="358"/>
      <c r="I898" s="388"/>
      <c r="J898" s="359">
        <f t="shared" si="183"/>
        <v>0</v>
      </c>
    </row>
    <row r="899" spans="1:11" ht="15" thickBot="1" x14ac:dyDescent="0.4">
      <c r="A899" s="299"/>
      <c r="B899" s="869"/>
      <c r="C899" s="132"/>
      <c r="D899" s="113"/>
      <c r="E899" s="114"/>
      <c r="F899" s="120"/>
      <c r="G899" s="390"/>
      <c r="H899" s="362"/>
      <c r="I899" s="391"/>
      <c r="J899" s="374">
        <f>D899*E899*F899</f>
        <v>0</v>
      </c>
    </row>
    <row r="900" spans="1:11" ht="15" thickBot="1" x14ac:dyDescent="0.4">
      <c r="A900" s="299"/>
      <c r="B900" s="299"/>
      <c r="C900" s="299"/>
      <c r="D900" s="299"/>
      <c r="E900" s="299"/>
      <c r="F900" s="357"/>
      <c r="G900" s="299"/>
      <c r="H900" s="299"/>
      <c r="I900" s="299"/>
      <c r="J900" s="357"/>
    </row>
    <row r="901" spans="1:11" ht="58.5" thickBot="1" x14ac:dyDescent="0.4">
      <c r="A901" s="299"/>
      <c r="B901" s="434" t="str">
        <f>Language!A43</f>
        <v>En el caso del costo de educación y comunicación, se propone calcularlo con el detalle o con un porcentaje de los costos totales</v>
      </c>
      <c r="C901" s="435" t="str">
        <f>Language!A44</f>
        <v>¿Calcular con un porcentaje de los costos totales?
En caso de que sí, el detalle del cuadro siguiente no se considerara en los totales.</v>
      </c>
      <c r="D901" s="3" t="s">
        <v>100</v>
      </c>
      <c r="E901" s="434" t="str">
        <f>Language!A47</f>
        <v>Porcentaje aplicado [%]</v>
      </c>
      <c r="F901" s="23">
        <v>0.1</v>
      </c>
      <c r="G901" s="436"/>
      <c r="H901" s="436"/>
      <c r="I901" s="436"/>
      <c r="J901" s="437"/>
    </row>
    <row r="902" spans="1:11" s="299" customFormat="1" ht="15" thickBot="1" x14ac:dyDescent="0.4">
      <c r="B902" s="438"/>
      <c r="F902" s="357"/>
      <c r="J902" s="357"/>
      <c r="K902" s="357"/>
    </row>
    <row r="903" spans="1:11" ht="29" thickBot="1" x14ac:dyDescent="0.4">
      <c r="A903" s="299"/>
      <c r="B903" s="876" t="str">
        <f>Language!A48</f>
        <v>Educación y comunicación</v>
      </c>
      <c r="C903" s="861" t="str">
        <f>Language!A18</f>
        <v>Personal</v>
      </c>
      <c r="D903" s="862"/>
      <c r="E903" s="862"/>
      <c r="F903" s="862"/>
      <c r="G903" s="862"/>
      <c r="H903" s="862"/>
      <c r="I903" s="862"/>
      <c r="J903" s="863"/>
      <c r="K903" s="343"/>
    </row>
    <row r="904" spans="1:11" ht="44" thickBot="1" x14ac:dyDescent="0.4">
      <c r="A904" s="299"/>
      <c r="B904" s="877"/>
      <c r="C904" s="439" t="s">
        <v>303</v>
      </c>
      <c r="D904" s="440" t="str">
        <f>Language!A19</f>
        <v>Cantidad de personas empleadas en cargo específico</v>
      </c>
      <c r="E904" s="440" t="str">
        <f>Language!A20</f>
        <v>Dedicación a la prestación del servicio de gestión de los residuos sólidos [%]</v>
      </c>
      <c r="F904" s="441" t="str">
        <f>Language!A21</f>
        <v>Salario anual [$$$/año]</v>
      </c>
      <c r="G904" s="440" t="str">
        <f>Language!A22</f>
        <v>Beneficios sociales y seguros [$$$/año]</v>
      </c>
      <c r="H904" s="442" t="s">
        <v>301</v>
      </c>
      <c r="I904" s="442" t="s">
        <v>302</v>
      </c>
      <c r="J904" s="443" t="str">
        <f>Language!A23</f>
        <v>Costo total por año [$$$/año]</v>
      </c>
      <c r="K904" s="350"/>
    </row>
    <row r="905" spans="1:11" x14ac:dyDescent="0.35">
      <c r="A905" s="299"/>
      <c r="B905" s="877"/>
      <c r="C905" s="124" t="s">
        <v>758</v>
      </c>
      <c r="D905" s="4">
        <v>0</v>
      </c>
      <c r="E905" s="5">
        <v>1</v>
      </c>
      <c r="F905" s="22">
        <v>0</v>
      </c>
      <c r="G905" s="122"/>
      <c r="H905" s="358"/>
      <c r="I905" s="358"/>
      <c r="J905" s="359">
        <f t="shared" ref="J905:J919" si="184">D905*E905*(F905+G905)</f>
        <v>0</v>
      </c>
    </row>
    <row r="906" spans="1:11" x14ac:dyDescent="0.35">
      <c r="A906" s="299"/>
      <c r="B906" s="877"/>
      <c r="C906" s="124" t="s">
        <v>514</v>
      </c>
      <c r="D906" s="4">
        <v>0</v>
      </c>
      <c r="E906" s="5">
        <v>1</v>
      </c>
      <c r="F906" s="22">
        <v>0</v>
      </c>
      <c r="G906" s="122"/>
      <c r="H906" s="358"/>
      <c r="I906" s="358"/>
      <c r="J906" s="359">
        <f t="shared" ref="J906:J909" si="185">D906*E906*(F906+G906)</f>
        <v>0</v>
      </c>
    </row>
    <row r="907" spans="1:11" x14ac:dyDescent="0.35">
      <c r="A907" s="299"/>
      <c r="B907" s="877"/>
      <c r="C907" s="124" t="s">
        <v>753</v>
      </c>
      <c r="D907" s="4">
        <v>0</v>
      </c>
      <c r="E907" s="5"/>
      <c r="F907" s="22"/>
      <c r="G907" s="122"/>
      <c r="H907" s="358"/>
      <c r="I907" s="358"/>
      <c r="J907" s="359">
        <f t="shared" si="185"/>
        <v>0</v>
      </c>
    </row>
    <row r="908" spans="1:11" x14ac:dyDescent="0.35">
      <c r="A908" s="299"/>
      <c r="B908" s="877"/>
      <c r="C908" s="124" t="s">
        <v>125</v>
      </c>
      <c r="D908" s="4"/>
      <c r="E908" s="5"/>
      <c r="F908" s="22"/>
      <c r="G908" s="122"/>
      <c r="H908" s="358"/>
      <c r="I908" s="358"/>
      <c r="J908" s="359">
        <f t="shared" si="185"/>
        <v>0</v>
      </c>
    </row>
    <row r="909" spans="1:11" x14ac:dyDescent="0.35">
      <c r="A909" s="299"/>
      <c r="B909" s="877"/>
      <c r="C909" s="124" t="s">
        <v>125</v>
      </c>
      <c r="D909" s="4"/>
      <c r="E909" s="5"/>
      <c r="F909" s="22"/>
      <c r="G909" s="122"/>
      <c r="H909" s="358"/>
      <c r="I909" s="358"/>
      <c r="J909" s="359">
        <f t="shared" si="185"/>
        <v>0</v>
      </c>
    </row>
    <row r="910" spans="1:11" x14ac:dyDescent="0.35">
      <c r="A910" s="299"/>
      <c r="B910" s="877"/>
      <c r="C910" s="124" t="s">
        <v>125</v>
      </c>
      <c r="D910" s="4"/>
      <c r="E910" s="5"/>
      <c r="F910" s="22"/>
      <c r="G910" s="122"/>
      <c r="H910" s="358"/>
      <c r="I910" s="358"/>
      <c r="J910" s="359">
        <f>D910*E910*(F910+G910)</f>
        <v>0</v>
      </c>
    </row>
    <row r="911" spans="1:11" x14ac:dyDescent="0.35">
      <c r="A911" s="299"/>
      <c r="B911" s="877"/>
      <c r="C911" s="124"/>
      <c r="D911" s="4"/>
      <c r="E911" s="5"/>
      <c r="F911" s="22"/>
      <c r="G911" s="122"/>
      <c r="H911" s="358"/>
      <c r="I911" s="358"/>
      <c r="J911" s="359">
        <f t="shared" ref="J911:J914" si="186">D911*E911*(F911+G911)</f>
        <v>0</v>
      </c>
    </row>
    <row r="912" spans="1:11" x14ac:dyDescent="0.35">
      <c r="A912" s="299"/>
      <c r="B912" s="877"/>
      <c r="C912" s="124"/>
      <c r="D912" s="4"/>
      <c r="E912" s="5"/>
      <c r="F912" s="22"/>
      <c r="G912" s="122"/>
      <c r="H912" s="358"/>
      <c r="I912" s="358"/>
      <c r="J912" s="359">
        <f t="shared" si="186"/>
        <v>0</v>
      </c>
    </row>
    <row r="913" spans="1:11" x14ac:dyDescent="0.35">
      <c r="A913" s="299"/>
      <c r="B913" s="877"/>
      <c r="C913" s="124"/>
      <c r="D913" s="4"/>
      <c r="E913" s="5"/>
      <c r="F913" s="22"/>
      <c r="G913" s="122"/>
      <c r="H913" s="358"/>
      <c r="I913" s="358"/>
      <c r="J913" s="359">
        <f t="shared" si="186"/>
        <v>0</v>
      </c>
    </row>
    <row r="914" spans="1:11" x14ac:dyDescent="0.35">
      <c r="A914" s="299"/>
      <c r="B914" s="877"/>
      <c r="C914" s="124"/>
      <c r="D914" s="4"/>
      <c r="E914" s="5"/>
      <c r="F914" s="22"/>
      <c r="G914" s="122"/>
      <c r="H914" s="358"/>
      <c r="I914" s="358"/>
      <c r="J914" s="359">
        <f t="shared" si="186"/>
        <v>0</v>
      </c>
    </row>
    <row r="915" spans="1:11" x14ac:dyDescent="0.35">
      <c r="A915" s="299"/>
      <c r="B915" s="877"/>
      <c r="C915" s="124"/>
      <c r="D915" s="4"/>
      <c r="E915" s="5"/>
      <c r="F915" s="22"/>
      <c r="G915" s="122"/>
      <c r="H915" s="358"/>
      <c r="I915" s="358"/>
      <c r="J915" s="359">
        <f t="shared" ref="J915:J916" si="187">D915*E915*(F915+G915)</f>
        <v>0</v>
      </c>
    </row>
    <row r="916" spans="1:11" x14ac:dyDescent="0.35">
      <c r="A916" s="299"/>
      <c r="B916" s="877"/>
      <c r="C916" s="124"/>
      <c r="D916" s="4"/>
      <c r="E916" s="5"/>
      <c r="F916" s="22"/>
      <c r="G916" s="122"/>
      <c r="H916" s="358"/>
      <c r="I916" s="358"/>
      <c r="J916" s="359">
        <f t="shared" si="187"/>
        <v>0</v>
      </c>
    </row>
    <row r="917" spans="1:11" x14ac:dyDescent="0.35">
      <c r="A917" s="299"/>
      <c r="B917" s="877"/>
      <c r="C917" s="124"/>
      <c r="D917" s="4"/>
      <c r="E917" s="5"/>
      <c r="F917" s="22"/>
      <c r="G917" s="122"/>
      <c r="H917" s="358"/>
      <c r="I917" s="358"/>
      <c r="J917" s="359">
        <f>D917*E917*(F917+G917)</f>
        <v>0</v>
      </c>
    </row>
    <row r="918" spans="1:11" x14ac:dyDescent="0.35">
      <c r="A918" s="299"/>
      <c r="B918" s="877"/>
      <c r="C918" s="124"/>
      <c r="D918" s="4"/>
      <c r="E918" s="5"/>
      <c r="F918" s="22"/>
      <c r="G918" s="122"/>
      <c r="H918" s="358"/>
      <c r="I918" s="358"/>
      <c r="J918" s="359">
        <f>D918*E918*(F918+G918)</f>
        <v>0</v>
      </c>
    </row>
    <row r="919" spans="1:11" ht="15" thickBot="1" x14ac:dyDescent="0.4">
      <c r="A919" s="299"/>
      <c r="B919" s="877"/>
      <c r="C919" s="126"/>
      <c r="D919" s="113"/>
      <c r="E919" s="114"/>
      <c r="F919" s="139"/>
      <c r="G919" s="128"/>
      <c r="H919" s="362"/>
      <c r="I919" s="362"/>
      <c r="J919" s="374">
        <f t="shared" si="184"/>
        <v>0</v>
      </c>
    </row>
    <row r="920" spans="1:11" ht="29" thickBot="1" x14ac:dyDescent="0.4">
      <c r="A920" s="299"/>
      <c r="B920" s="877"/>
      <c r="C920" s="906" t="str">
        <f>Language!A38</f>
        <v>Equipo (protección personal, materiales, electrónicos y otros…)</v>
      </c>
      <c r="D920" s="907"/>
      <c r="E920" s="907"/>
      <c r="F920" s="907"/>
      <c r="G920" s="907"/>
      <c r="H920" s="907"/>
      <c r="I920" s="907"/>
      <c r="J920" s="908"/>
      <c r="K920" s="343"/>
    </row>
    <row r="921" spans="1:11" ht="45" customHeight="1" x14ac:dyDescent="0.35">
      <c r="A921" s="299"/>
      <c r="B921" s="877"/>
      <c r="C921" s="439" t="s">
        <v>302</v>
      </c>
      <c r="D921" s="444" t="str">
        <f>Language!A33</f>
        <v>Cantidad []</v>
      </c>
      <c r="E921" s="440" t="str">
        <f>Language!A20</f>
        <v>Dedicación a la prestación del servicio de gestión de los residuos sólidos [%]</v>
      </c>
      <c r="F921" s="445" t="str">
        <f>Language!A34</f>
        <v>Costo unitario [$$$]</v>
      </c>
      <c r="G921" s="446" t="str">
        <f>Language!A35</f>
        <v>Tasa de interés préstamo [%]</v>
      </c>
      <c r="H921" s="444" t="str">
        <f>Language!A36</f>
        <v>Tiempo de vida [años]</v>
      </c>
      <c r="I921" s="446" t="str">
        <f>Language!A37</f>
        <v>Costo unitario por año [$$$/año]</v>
      </c>
      <c r="J921" s="447" t="s">
        <v>301</v>
      </c>
      <c r="K921" s="448"/>
    </row>
    <row r="922" spans="1:11" x14ac:dyDescent="0.35">
      <c r="A922" s="299"/>
      <c r="B922" s="877"/>
      <c r="C922" s="130" t="s">
        <v>515</v>
      </c>
      <c r="D922" s="4">
        <v>0</v>
      </c>
      <c r="E922" s="5">
        <v>1</v>
      </c>
      <c r="F922" s="21">
        <v>0</v>
      </c>
      <c r="G922" s="5">
        <v>0</v>
      </c>
      <c r="H922" s="4">
        <v>0</v>
      </c>
      <c r="I922" s="372">
        <f t="shared" ref="I922:I941" si="188">IF(H922=0,0,IF(G922=0,E922*F922/H922,(F922*G922*((1+G922)^H922))/(((1+G922)^H922)-1)))</f>
        <v>0</v>
      </c>
      <c r="J922" s="359">
        <f t="shared" ref="J922:J923" si="189">D922*E922*I922</f>
        <v>0</v>
      </c>
    </row>
    <row r="923" spans="1:11" x14ac:dyDescent="0.35">
      <c r="A923" s="299"/>
      <c r="B923" s="877"/>
      <c r="C923" s="130" t="s">
        <v>516</v>
      </c>
      <c r="D923" s="4">
        <v>0</v>
      </c>
      <c r="E923" s="5">
        <v>1</v>
      </c>
      <c r="F923" s="21">
        <v>0</v>
      </c>
      <c r="G923" s="5">
        <v>0</v>
      </c>
      <c r="H923" s="4">
        <v>0</v>
      </c>
      <c r="I923" s="372">
        <f t="shared" si="188"/>
        <v>0</v>
      </c>
      <c r="J923" s="359">
        <f t="shared" si="189"/>
        <v>0</v>
      </c>
    </row>
    <row r="924" spans="1:11" x14ac:dyDescent="0.35">
      <c r="A924" s="299"/>
      <c r="B924" s="877"/>
      <c r="C924" s="130" t="s">
        <v>517</v>
      </c>
      <c r="D924" s="4">
        <v>0</v>
      </c>
      <c r="E924" s="7">
        <v>1</v>
      </c>
      <c r="F924" s="21">
        <v>0</v>
      </c>
      <c r="G924" s="7">
        <v>0</v>
      </c>
      <c r="H924" s="4">
        <v>0</v>
      </c>
      <c r="I924" s="372">
        <f t="shared" si="188"/>
        <v>0</v>
      </c>
      <c r="J924" s="359">
        <f t="shared" ref="J924:J925" si="190">D924*E924*I924</f>
        <v>0</v>
      </c>
    </row>
    <row r="925" spans="1:11" x14ac:dyDescent="0.35">
      <c r="A925" s="299"/>
      <c r="B925" s="877"/>
      <c r="C925" s="130" t="s">
        <v>518</v>
      </c>
      <c r="D925" s="4">
        <v>0</v>
      </c>
      <c r="E925" s="7">
        <v>1</v>
      </c>
      <c r="F925" s="21">
        <v>0</v>
      </c>
      <c r="G925" s="7">
        <v>0</v>
      </c>
      <c r="H925" s="4">
        <v>0</v>
      </c>
      <c r="I925" s="372">
        <f t="shared" si="188"/>
        <v>0</v>
      </c>
      <c r="J925" s="359">
        <f t="shared" si="190"/>
        <v>0</v>
      </c>
    </row>
    <row r="926" spans="1:11" x14ac:dyDescent="0.35">
      <c r="A926" s="299"/>
      <c r="B926" s="877"/>
      <c r="C926" s="130" t="s">
        <v>519</v>
      </c>
      <c r="D926" s="4">
        <v>0</v>
      </c>
      <c r="E926" s="7">
        <v>1</v>
      </c>
      <c r="F926" s="21">
        <v>0</v>
      </c>
      <c r="G926" s="7">
        <v>0</v>
      </c>
      <c r="H926" s="4">
        <v>0</v>
      </c>
      <c r="I926" s="372">
        <f t="shared" si="188"/>
        <v>0</v>
      </c>
      <c r="J926" s="359">
        <f t="shared" ref="J926:J930" si="191">D926*E926*I926</f>
        <v>0</v>
      </c>
    </row>
    <row r="927" spans="1:11" x14ac:dyDescent="0.35">
      <c r="A927" s="299"/>
      <c r="B927" s="877"/>
      <c r="C927" s="130" t="s">
        <v>520</v>
      </c>
      <c r="D927" s="4">
        <v>0</v>
      </c>
      <c r="E927" s="7">
        <v>1</v>
      </c>
      <c r="F927" s="21">
        <v>0</v>
      </c>
      <c r="G927" s="7">
        <v>0</v>
      </c>
      <c r="H927" s="4">
        <v>0</v>
      </c>
      <c r="I927" s="372">
        <f t="shared" si="188"/>
        <v>0</v>
      </c>
      <c r="J927" s="359">
        <f t="shared" si="191"/>
        <v>0</v>
      </c>
    </row>
    <row r="928" spans="1:11" x14ac:dyDescent="0.35">
      <c r="A928" s="299"/>
      <c r="B928" s="877"/>
      <c r="C928" s="130" t="s">
        <v>521</v>
      </c>
      <c r="D928" s="4">
        <v>0</v>
      </c>
      <c r="E928" s="7">
        <v>1</v>
      </c>
      <c r="F928" s="21">
        <v>0</v>
      </c>
      <c r="G928" s="7">
        <v>0</v>
      </c>
      <c r="H928" s="4">
        <v>0</v>
      </c>
      <c r="I928" s="372">
        <f t="shared" si="188"/>
        <v>0</v>
      </c>
      <c r="J928" s="359">
        <f t="shared" si="191"/>
        <v>0</v>
      </c>
    </row>
    <row r="929" spans="1:11" x14ac:dyDescent="0.35">
      <c r="A929" s="299"/>
      <c r="B929" s="877"/>
      <c r="C929" s="130" t="s">
        <v>522</v>
      </c>
      <c r="D929" s="4">
        <v>0</v>
      </c>
      <c r="E929" s="7">
        <v>1</v>
      </c>
      <c r="F929" s="21">
        <v>0</v>
      </c>
      <c r="G929" s="7">
        <v>0</v>
      </c>
      <c r="H929" s="4">
        <v>0</v>
      </c>
      <c r="I929" s="372">
        <f t="shared" si="188"/>
        <v>0</v>
      </c>
      <c r="J929" s="359">
        <f t="shared" si="191"/>
        <v>0</v>
      </c>
    </row>
    <row r="930" spans="1:11" x14ac:dyDescent="0.35">
      <c r="A930" s="299"/>
      <c r="B930" s="877"/>
      <c r="C930" s="130" t="s">
        <v>523</v>
      </c>
      <c r="D930" s="4">
        <v>0</v>
      </c>
      <c r="E930" s="7">
        <v>1</v>
      </c>
      <c r="F930" s="21">
        <v>0</v>
      </c>
      <c r="G930" s="7">
        <v>0</v>
      </c>
      <c r="H930" s="4">
        <v>0</v>
      </c>
      <c r="I930" s="372">
        <f t="shared" si="188"/>
        <v>0</v>
      </c>
      <c r="J930" s="359">
        <f t="shared" si="191"/>
        <v>0</v>
      </c>
    </row>
    <row r="931" spans="1:11" x14ac:dyDescent="0.35">
      <c r="A931" s="299"/>
      <c r="B931" s="877"/>
      <c r="C931" s="130" t="s">
        <v>524</v>
      </c>
      <c r="D931" s="4">
        <v>0</v>
      </c>
      <c r="E931" s="5">
        <v>1</v>
      </c>
      <c r="F931" s="21">
        <v>0</v>
      </c>
      <c r="G931" s="5">
        <v>0</v>
      </c>
      <c r="H931" s="4">
        <v>0</v>
      </c>
      <c r="I931" s="372">
        <f t="shared" si="188"/>
        <v>0</v>
      </c>
      <c r="J931" s="359">
        <f t="shared" ref="J931:J934" si="192">D931*E931*I931</f>
        <v>0</v>
      </c>
    </row>
    <row r="932" spans="1:11" x14ac:dyDescent="0.35">
      <c r="A932" s="299"/>
      <c r="B932" s="877"/>
      <c r="C932" s="130" t="s">
        <v>525</v>
      </c>
      <c r="D932" s="4">
        <v>0</v>
      </c>
      <c r="E932" s="5">
        <v>1</v>
      </c>
      <c r="F932" s="21">
        <v>0</v>
      </c>
      <c r="G932" s="5">
        <v>0</v>
      </c>
      <c r="H932" s="4">
        <v>0</v>
      </c>
      <c r="I932" s="372">
        <f t="shared" si="188"/>
        <v>0</v>
      </c>
      <c r="J932" s="359">
        <f t="shared" si="192"/>
        <v>0</v>
      </c>
    </row>
    <row r="933" spans="1:11" x14ac:dyDescent="0.35">
      <c r="A933" s="299"/>
      <c r="B933" s="877"/>
      <c r="C933" s="130" t="s">
        <v>526</v>
      </c>
      <c r="D933" s="4">
        <v>0</v>
      </c>
      <c r="E933" s="5">
        <v>1</v>
      </c>
      <c r="F933" s="21">
        <v>0</v>
      </c>
      <c r="G933" s="5">
        <v>0</v>
      </c>
      <c r="H933" s="4">
        <v>0</v>
      </c>
      <c r="I933" s="372">
        <f t="shared" si="188"/>
        <v>0</v>
      </c>
      <c r="J933" s="359">
        <f t="shared" si="192"/>
        <v>0</v>
      </c>
    </row>
    <row r="934" spans="1:11" x14ac:dyDescent="0.35">
      <c r="A934" s="299"/>
      <c r="B934" s="877"/>
      <c r="C934" s="130" t="s">
        <v>527</v>
      </c>
      <c r="D934" s="4">
        <v>0</v>
      </c>
      <c r="E934" s="5">
        <v>1</v>
      </c>
      <c r="F934" s="21">
        <v>0</v>
      </c>
      <c r="G934" s="5">
        <v>0</v>
      </c>
      <c r="H934" s="4">
        <v>0</v>
      </c>
      <c r="I934" s="372">
        <f t="shared" si="188"/>
        <v>0</v>
      </c>
      <c r="J934" s="359">
        <f t="shared" si="192"/>
        <v>0</v>
      </c>
    </row>
    <row r="935" spans="1:11" x14ac:dyDescent="0.35">
      <c r="A935" s="299"/>
      <c r="B935" s="877"/>
      <c r="C935" s="124" t="s">
        <v>125</v>
      </c>
      <c r="D935" s="4">
        <v>0</v>
      </c>
      <c r="E935" s="5">
        <v>1</v>
      </c>
      <c r="F935" s="21">
        <v>0</v>
      </c>
      <c r="G935" s="5">
        <v>0</v>
      </c>
      <c r="H935" s="4">
        <v>0</v>
      </c>
      <c r="I935" s="372">
        <f t="shared" si="188"/>
        <v>0</v>
      </c>
      <c r="J935" s="359">
        <f t="shared" ref="J935:J938" si="193">D935*E935*I935</f>
        <v>0</v>
      </c>
    </row>
    <row r="936" spans="1:11" x14ac:dyDescent="0.35">
      <c r="A936" s="299"/>
      <c r="B936" s="877"/>
      <c r="C936" s="124" t="s">
        <v>125</v>
      </c>
      <c r="D936" s="4"/>
      <c r="E936" s="5"/>
      <c r="F936" s="21"/>
      <c r="G936" s="5"/>
      <c r="H936" s="4"/>
      <c r="I936" s="372">
        <f t="shared" si="188"/>
        <v>0</v>
      </c>
      <c r="J936" s="359">
        <f t="shared" si="193"/>
        <v>0</v>
      </c>
    </row>
    <row r="937" spans="1:11" x14ac:dyDescent="0.35">
      <c r="A937" s="299"/>
      <c r="B937" s="877"/>
      <c r="C937" s="124" t="s">
        <v>125</v>
      </c>
      <c r="D937" s="4"/>
      <c r="E937" s="7"/>
      <c r="F937" s="21"/>
      <c r="G937" s="5"/>
      <c r="H937" s="4"/>
      <c r="I937" s="372">
        <f t="shared" si="188"/>
        <v>0</v>
      </c>
      <c r="J937" s="359">
        <f t="shared" si="193"/>
        <v>0</v>
      </c>
    </row>
    <row r="938" spans="1:11" x14ac:dyDescent="0.35">
      <c r="A938" s="299"/>
      <c r="B938" s="877"/>
      <c r="C938" s="130"/>
      <c r="D938" s="4"/>
      <c r="E938" s="7"/>
      <c r="F938" s="21"/>
      <c r="G938" s="5"/>
      <c r="H938" s="4"/>
      <c r="I938" s="372">
        <f t="shared" si="188"/>
        <v>0</v>
      </c>
      <c r="J938" s="359">
        <f t="shared" si="193"/>
        <v>0</v>
      </c>
    </row>
    <row r="939" spans="1:11" x14ac:dyDescent="0.35">
      <c r="A939" s="299"/>
      <c r="B939" s="877"/>
      <c r="C939" s="130"/>
      <c r="D939" s="4"/>
      <c r="E939" s="7"/>
      <c r="F939" s="21"/>
      <c r="G939" s="5"/>
      <c r="H939" s="4"/>
      <c r="I939" s="372">
        <f t="shared" si="188"/>
        <v>0</v>
      </c>
      <c r="J939" s="359">
        <f t="shared" ref="J939:J941" si="194">D939*E939*I939</f>
        <v>0</v>
      </c>
    </row>
    <row r="940" spans="1:11" x14ac:dyDescent="0.35">
      <c r="A940" s="299"/>
      <c r="B940" s="877"/>
      <c r="C940" s="130"/>
      <c r="D940" s="4"/>
      <c r="E940" s="7"/>
      <c r="F940" s="21"/>
      <c r="G940" s="5"/>
      <c r="H940" s="4"/>
      <c r="I940" s="372">
        <f t="shared" si="188"/>
        <v>0</v>
      </c>
      <c r="J940" s="359">
        <f t="shared" si="194"/>
        <v>0</v>
      </c>
    </row>
    <row r="941" spans="1:11" ht="15" thickBot="1" x14ac:dyDescent="0.4">
      <c r="A941" s="299"/>
      <c r="B941" s="877"/>
      <c r="C941" s="132"/>
      <c r="D941" s="113"/>
      <c r="E941" s="114"/>
      <c r="F941" s="120"/>
      <c r="G941" s="114"/>
      <c r="H941" s="113"/>
      <c r="I941" s="373">
        <f t="shared" si="188"/>
        <v>0</v>
      </c>
      <c r="J941" s="374">
        <f t="shared" si="194"/>
        <v>0</v>
      </c>
    </row>
    <row r="942" spans="1:11" ht="29" thickBot="1" x14ac:dyDescent="0.4">
      <c r="A942" s="299"/>
      <c r="B942" s="877"/>
      <c r="C942" s="861" t="str">
        <f>Language!A39</f>
        <v>Infraestructura, diseño y terrenos</v>
      </c>
      <c r="D942" s="862"/>
      <c r="E942" s="862"/>
      <c r="F942" s="862"/>
      <c r="G942" s="862"/>
      <c r="H942" s="862"/>
      <c r="I942" s="862"/>
      <c r="J942" s="863"/>
      <c r="K942" s="343"/>
    </row>
    <row r="943" spans="1:11" ht="43.5" x14ac:dyDescent="0.35">
      <c r="A943" s="299"/>
      <c r="B943" s="877"/>
      <c r="C943" s="449" t="s">
        <v>302</v>
      </c>
      <c r="D943" s="450" t="str">
        <f>Language!A33</f>
        <v>Cantidad []</v>
      </c>
      <c r="E943" s="451" t="str">
        <f>Language!A20</f>
        <v>Dedicación a la prestación del servicio de gestión de los residuos sólidos [%]</v>
      </c>
      <c r="F943" s="452" t="str">
        <f>Language!A34</f>
        <v>Costo unitario [$$$]</v>
      </c>
      <c r="G943" s="453" t="str">
        <f>Language!A35</f>
        <v>Tasa de interés préstamo [%]</v>
      </c>
      <c r="H943" s="450" t="str">
        <f>Language!A36</f>
        <v>Tiempo de vida [años]</v>
      </c>
      <c r="I943" s="453" t="str">
        <f>Language!A37</f>
        <v>Costo unitario por año [$$$/año]</v>
      </c>
      <c r="J943" s="454" t="s">
        <v>301</v>
      </c>
      <c r="K943" s="448"/>
    </row>
    <row r="944" spans="1:11" x14ac:dyDescent="0.35">
      <c r="A944" s="299"/>
      <c r="B944" s="877"/>
      <c r="C944" s="130" t="s">
        <v>756</v>
      </c>
      <c r="D944" s="6">
        <v>0</v>
      </c>
      <c r="E944" s="7">
        <v>1</v>
      </c>
      <c r="F944" s="21">
        <v>0</v>
      </c>
      <c r="G944" s="7">
        <v>0</v>
      </c>
      <c r="H944" s="6">
        <v>0</v>
      </c>
      <c r="I944" s="372">
        <f t="shared" ref="I944:I951" si="195">IF(H944=0,0,IF(G944=0,E944*F944/H944,(F944*G944*((1+G944)^H944))/(((1+G944)^H944)-1)))</f>
        <v>0</v>
      </c>
      <c r="J944" s="359">
        <f t="shared" ref="J944" si="196">D944*E944*I944</f>
        <v>0</v>
      </c>
    </row>
    <row r="945" spans="1:11" x14ac:dyDescent="0.35">
      <c r="A945" s="299"/>
      <c r="B945" s="877"/>
      <c r="C945" s="124" t="s">
        <v>125</v>
      </c>
      <c r="D945" s="6"/>
      <c r="E945" s="7"/>
      <c r="F945" s="21"/>
      <c r="G945" s="7"/>
      <c r="H945" s="6"/>
      <c r="I945" s="372">
        <f t="shared" si="195"/>
        <v>0</v>
      </c>
      <c r="J945" s="359">
        <f t="shared" ref="J945:J947" si="197">D945*E945*I945</f>
        <v>0</v>
      </c>
    </row>
    <row r="946" spans="1:11" x14ac:dyDescent="0.35">
      <c r="A946" s="299"/>
      <c r="B946" s="877"/>
      <c r="C946" s="124" t="s">
        <v>125</v>
      </c>
      <c r="D946" s="6"/>
      <c r="E946" s="7"/>
      <c r="F946" s="21"/>
      <c r="G946" s="7"/>
      <c r="H946" s="6"/>
      <c r="I946" s="372">
        <f t="shared" si="195"/>
        <v>0</v>
      </c>
      <c r="J946" s="359">
        <f t="shared" si="197"/>
        <v>0</v>
      </c>
    </row>
    <row r="947" spans="1:11" x14ac:dyDescent="0.35">
      <c r="A947" s="299"/>
      <c r="B947" s="877"/>
      <c r="C947" s="124" t="s">
        <v>125</v>
      </c>
      <c r="D947" s="6"/>
      <c r="E947" s="7"/>
      <c r="F947" s="21"/>
      <c r="G947" s="7"/>
      <c r="H947" s="6"/>
      <c r="I947" s="372">
        <f t="shared" si="195"/>
        <v>0</v>
      </c>
      <c r="J947" s="359">
        <f t="shared" si="197"/>
        <v>0</v>
      </c>
    </row>
    <row r="948" spans="1:11" x14ac:dyDescent="0.35">
      <c r="A948" s="299"/>
      <c r="B948" s="877"/>
      <c r="C948" s="130"/>
      <c r="D948" s="6"/>
      <c r="E948" s="7"/>
      <c r="F948" s="21"/>
      <c r="G948" s="7"/>
      <c r="H948" s="6"/>
      <c r="I948" s="372">
        <f t="shared" si="195"/>
        <v>0</v>
      </c>
      <c r="J948" s="359">
        <f>D948*E948*I948</f>
        <v>0</v>
      </c>
    </row>
    <row r="949" spans="1:11" x14ac:dyDescent="0.35">
      <c r="A949" s="299"/>
      <c r="B949" s="877"/>
      <c r="C949" s="130"/>
      <c r="D949" s="6"/>
      <c r="E949" s="7"/>
      <c r="F949" s="21"/>
      <c r="G949" s="7"/>
      <c r="H949" s="6"/>
      <c r="I949" s="372">
        <f t="shared" si="195"/>
        <v>0</v>
      </c>
      <c r="J949" s="359">
        <f>D949*E949*I949</f>
        <v>0</v>
      </c>
    </row>
    <row r="950" spans="1:11" x14ac:dyDescent="0.35">
      <c r="A950" s="299"/>
      <c r="B950" s="877"/>
      <c r="C950" s="130"/>
      <c r="D950" s="6"/>
      <c r="E950" s="7"/>
      <c r="F950" s="21"/>
      <c r="G950" s="7"/>
      <c r="H950" s="6"/>
      <c r="I950" s="372">
        <f t="shared" si="195"/>
        <v>0</v>
      </c>
      <c r="J950" s="359">
        <f>D950*E950*I950</f>
        <v>0</v>
      </c>
    </row>
    <row r="951" spans="1:11" ht="15" thickBot="1" x14ac:dyDescent="0.4">
      <c r="A951" s="299"/>
      <c r="B951" s="877"/>
      <c r="C951" s="132"/>
      <c r="D951" s="113"/>
      <c r="E951" s="114"/>
      <c r="F951" s="120"/>
      <c r="G951" s="114"/>
      <c r="H951" s="113"/>
      <c r="I951" s="373">
        <f t="shared" si="195"/>
        <v>0</v>
      </c>
      <c r="J951" s="374">
        <f t="shared" ref="J951" si="198">D951*E951*I951</f>
        <v>0</v>
      </c>
    </row>
    <row r="952" spans="1:11" ht="29" thickBot="1" x14ac:dyDescent="0.4">
      <c r="A952" s="299"/>
      <c r="B952" s="877"/>
      <c r="C952" s="861" t="str">
        <f>Language!A40</f>
        <v>Operación y mantenimiento</v>
      </c>
      <c r="D952" s="862"/>
      <c r="E952" s="862"/>
      <c r="F952" s="862"/>
      <c r="G952" s="862"/>
      <c r="H952" s="862"/>
      <c r="I952" s="862"/>
      <c r="J952" s="863"/>
      <c r="K952" s="343"/>
    </row>
    <row r="953" spans="1:11" ht="43.5" x14ac:dyDescent="0.35">
      <c r="A953" s="299"/>
      <c r="B953" s="877"/>
      <c r="C953" s="439" t="s">
        <v>589</v>
      </c>
      <c r="D953" s="444" t="str">
        <f>Language!A33</f>
        <v>Cantidad []</v>
      </c>
      <c r="E953" s="440" t="str">
        <f>Language!A20</f>
        <v>Dedicación a la prestación del servicio de gestión de los residuos sólidos [%]</v>
      </c>
      <c r="F953" s="445" t="str">
        <f>Language!A34</f>
        <v>Costo unitario [$$$]</v>
      </c>
      <c r="G953" s="455" t="s">
        <v>301</v>
      </c>
      <c r="H953" s="455" t="s">
        <v>302</v>
      </c>
      <c r="I953" s="456" t="s">
        <v>303</v>
      </c>
      <c r="J953" s="447" t="s">
        <v>304</v>
      </c>
      <c r="K953" s="448"/>
    </row>
    <row r="954" spans="1:11" x14ac:dyDescent="0.35">
      <c r="A954" s="299"/>
      <c r="B954" s="877"/>
      <c r="C954" s="130" t="s">
        <v>528</v>
      </c>
      <c r="D954" s="4">
        <v>0</v>
      </c>
      <c r="E954" s="5">
        <v>1</v>
      </c>
      <c r="F954" s="21">
        <v>0</v>
      </c>
      <c r="G954" s="387"/>
      <c r="H954" s="358"/>
      <c r="I954" s="388"/>
      <c r="J954" s="359">
        <f t="shared" ref="J954" si="199">D954*E954*F954</f>
        <v>0</v>
      </c>
    </row>
    <row r="955" spans="1:11" x14ac:dyDescent="0.35">
      <c r="A955" s="299"/>
      <c r="B955" s="877"/>
      <c r="C955" s="130" t="s">
        <v>529</v>
      </c>
      <c r="D955" s="4">
        <v>0</v>
      </c>
      <c r="E955" s="5">
        <v>1</v>
      </c>
      <c r="F955" s="21">
        <v>0</v>
      </c>
      <c r="G955" s="387"/>
      <c r="H955" s="358"/>
      <c r="I955" s="388"/>
      <c r="J955" s="359">
        <f t="shared" ref="J955:J956" si="200">D955*E955*F955</f>
        <v>0</v>
      </c>
    </row>
    <row r="956" spans="1:11" x14ac:dyDescent="0.35">
      <c r="A956" s="299"/>
      <c r="B956" s="877"/>
      <c r="C956" s="130" t="s">
        <v>530</v>
      </c>
      <c r="D956" s="4">
        <v>0</v>
      </c>
      <c r="E956" s="5">
        <v>1</v>
      </c>
      <c r="F956" s="21">
        <v>0</v>
      </c>
      <c r="G956" s="387"/>
      <c r="H956" s="358"/>
      <c r="I956" s="388"/>
      <c r="J956" s="359">
        <f t="shared" si="200"/>
        <v>0</v>
      </c>
    </row>
    <row r="957" spans="1:11" x14ac:dyDescent="0.35">
      <c r="A957" s="299"/>
      <c r="B957" s="877"/>
      <c r="C957" s="130" t="s">
        <v>531</v>
      </c>
      <c r="D957" s="4">
        <v>0</v>
      </c>
      <c r="E957" s="5">
        <v>1</v>
      </c>
      <c r="F957" s="21">
        <v>0</v>
      </c>
      <c r="G957" s="387"/>
      <c r="H957" s="358"/>
      <c r="I957" s="388"/>
      <c r="J957" s="359">
        <f t="shared" ref="J957:J959" si="201">D957*E957*F957</f>
        <v>0</v>
      </c>
    </row>
    <row r="958" spans="1:11" x14ac:dyDescent="0.35">
      <c r="A958" s="299"/>
      <c r="B958" s="877"/>
      <c r="C958" s="124" t="s">
        <v>125</v>
      </c>
      <c r="D958" s="4"/>
      <c r="E958" s="5"/>
      <c r="F958" s="21"/>
      <c r="G958" s="387"/>
      <c r="H958" s="358"/>
      <c r="I958" s="388"/>
      <c r="J958" s="359">
        <f t="shared" si="201"/>
        <v>0</v>
      </c>
    </row>
    <row r="959" spans="1:11" x14ac:dyDescent="0.35">
      <c r="A959" s="299"/>
      <c r="B959" s="877"/>
      <c r="C959" s="124" t="s">
        <v>125</v>
      </c>
      <c r="D959" s="4"/>
      <c r="E959" s="5"/>
      <c r="F959" s="21"/>
      <c r="G959" s="387"/>
      <c r="H959" s="358"/>
      <c r="I959" s="388"/>
      <c r="J959" s="359">
        <f t="shared" si="201"/>
        <v>0</v>
      </c>
    </row>
    <row r="960" spans="1:11" x14ac:dyDescent="0.35">
      <c r="A960" s="299"/>
      <c r="B960" s="877"/>
      <c r="C960" s="124" t="s">
        <v>125</v>
      </c>
      <c r="D960" s="4"/>
      <c r="E960" s="5"/>
      <c r="F960" s="21"/>
      <c r="G960" s="387"/>
      <c r="H960" s="358"/>
      <c r="I960" s="388"/>
      <c r="J960" s="359">
        <f t="shared" ref="J960:J961" si="202">D960*E960*F960</f>
        <v>0</v>
      </c>
    </row>
    <row r="961" spans="1:11" x14ac:dyDescent="0.35">
      <c r="A961" s="299"/>
      <c r="B961" s="877"/>
      <c r="C961" s="130"/>
      <c r="D961" s="4"/>
      <c r="E961" s="5"/>
      <c r="F961" s="21"/>
      <c r="G961" s="387"/>
      <c r="H961" s="358"/>
      <c r="I961" s="388"/>
      <c r="J961" s="359">
        <f t="shared" si="202"/>
        <v>0</v>
      </c>
    </row>
    <row r="962" spans="1:11" x14ac:dyDescent="0.35">
      <c r="A962" s="299"/>
      <c r="B962" s="877"/>
      <c r="C962" s="130"/>
      <c r="D962" s="4"/>
      <c r="E962" s="5"/>
      <c r="F962" s="21"/>
      <c r="G962" s="387"/>
      <c r="H962" s="358"/>
      <c r="I962" s="388"/>
      <c r="J962" s="359">
        <f t="shared" ref="J962:J963" si="203">D962*E962*F962</f>
        <v>0</v>
      </c>
    </row>
    <row r="963" spans="1:11" x14ac:dyDescent="0.35">
      <c r="A963" s="299"/>
      <c r="B963" s="877"/>
      <c r="C963" s="130"/>
      <c r="D963" s="4"/>
      <c r="E963" s="5"/>
      <c r="F963" s="21"/>
      <c r="G963" s="387"/>
      <c r="H963" s="358"/>
      <c r="I963" s="388"/>
      <c r="J963" s="359">
        <f t="shared" si="203"/>
        <v>0</v>
      </c>
    </row>
    <row r="964" spans="1:11" x14ac:dyDescent="0.35">
      <c r="A964" s="299"/>
      <c r="B964" s="877"/>
      <c r="C964" s="130"/>
      <c r="D964" s="4"/>
      <c r="E964" s="5"/>
      <c r="F964" s="21"/>
      <c r="G964" s="387"/>
      <c r="H964" s="358"/>
      <c r="I964" s="388"/>
      <c r="J964" s="359">
        <f t="shared" ref="J964:J965" si="204">D964*E964*F964</f>
        <v>0</v>
      </c>
    </row>
    <row r="965" spans="1:11" ht="15" thickBot="1" x14ac:dyDescent="0.4">
      <c r="A965" s="299"/>
      <c r="B965" s="878"/>
      <c r="C965" s="132"/>
      <c r="D965" s="113"/>
      <c r="E965" s="114"/>
      <c r="F965" s="120"/>
      <c r="G965" s="390"/>
      <c r="H965" s="362"/>
      <c r="I965" s="391"/>
      <c r="J965" s="374">
        <f t="shared" si="204"/>
        <v>0</v>
      </c>
    </row>
    <row r="966" spans="1:11" s="299" customFormat="1" ht="15" thickBot="1" x14ac:dyDescent="0.4">
      <c r="F966" s="357"/>
      <c r="J966" s="357"/>
      <c r="K966" s="357"/>
    </row>
    <row r="967" spans="1:11" x14ac:dyDescent="0.35">
      <c r="A967" s="299"/>
      <c r="B967" s="299"/>
      <c r="C967" s="299"/>
      <c r="D967" s="299"/>
      <c r="E967" s="299"/>
      <c r="F967" s="357"/>
      <c r="G967" s="457"/>
      <c r="H967" s="879" t="str">
        <f>Language!A49</f>
        <v>Costos de vehículos por servicio [$$$/año]</v>
      </c>
      <c r="I967" s="879"/>
      <c r="J967" s="458" t="s">
        <v>381</v>
      </c>
      <c r="K967" s="459"/>
    </row>
    <row r="968" spans="1:11" x14ac:dyDescent="0.35">
      <c r="A968" s="299"/>
      <c r="B968" s="299"/>
      <c r="C968" s="299"/>
      <c r="D968" s="299"/>
      <c r="E968" s="299"/>
      <c r="F968" s="357"/>
      <c r="G968" s="304"/>
      <c r="H968" s="460" t="str">
        <f>Language!A24</f>
        <v>Barrido de vías y áreas públicas</v>
      </c>
      <c r="I968" s="461">
        <f>SUM(J137:J151)</f>
        <v>0</v>
      </c>
      <c r="J968" s="148">
        <f t="shared" ref="J968:J973" si="205">IFERROR(I968/SUM($I$968:$I$973),)</f>
        <v>0</v>
      </c>
      <c r="K968" s="123"/>
    </row>
    <row r="969" spans="1:11" x14ac:dyDescent="0.35">
      <c r="A969" s="299"/>
      <c r="B969" s="299"/>
      <c r="C969" s="299"/>
      <c r="D969" s="299"/>
      <c r="E969" s="299"/>
      <c r="F969" s="357"/>
      <c r="G969" s="304"/>
      <c r="H969" s="460" t="str">
        <f>Language!A26</f>
        <v>Servicio de recolección</v>
      </c>
      <c r="I969" s="461">
        <f>SUM(J162:J211)</f>
        <v>0</v>
      </c>
      <c r="J969" s="148">
        <f t="shared" si="205"/>
        <v>0</v>
      </c>
      <c r="K969" s="123"/>
    </row>
    <row r="970" spans="1:11" x14ac:dyDescent="0.35">
      <c r="A970" s="299"/>
      <c r="B970" s="299"/>
      <c r="C970" s="299"/>
      <c r="D970" s="299"/>
      <c r="E970" s="299"/>
      <c r="F970" s="357"/>
      <c r="G970" s="304"/>
      <c r="H970" s="460" t="str">
        <f>Language!A27</f>
        <v>Planta de reciclaje</v>
      </c>
      <c r="I970" s="461">
        <f>SUM(J213:J222)</f>
        <v>0</v>
      </c>
      <c r="J970" s="148">
        <f t="shared" si="205"/>
        <v>0</v>
      </c>
      <c r="K970" s="123"/>
    </row>
    <row r="971" spans="1:11" x14ac:dyDescent="0.35">
      <c r="A971" s="299"/>
      <c r="B971" s="299"/>
      <c r="C971" s="299"/>
      <c r="D971" s="299"/>
      <c r="E971" s="299"/>
      <c r="F971" s="357"/>
      <c r="G971" s="304"/>
      <c r="H971" s="460" t="str">
        <f>Language!A28</f>
        <v>Planta de compostaje</v>
      </c>
      <c r="I971" s="461">
        <f>SUM(J224:J233)</f>
        <v>0</v>
      </c>
      <c r="J971" s="148">
        <f t="shared" si="205"/>
        <v>0</v>
      </c>
      <c r="K971" s="123"/>
    </row>
    <row r="972" spans="1:11" s="299" customFormat="1" x14ac:dyDescent="0.35">
      <c r="F972" s="357"/>
      <c r="G972" s="304"/>
      <c r="H972" s="460" t="str">
        <f>Language!A29</f>
        <v>Estación de transferencia y transporte</v>
      </c>
      <c r="I972" s="461">
        <f>SUM(J235:J244)</f>
        <v>0</v>
      </c>
      <c r="J972" s="148">
        <f t="shared" si="205"/>
        <v>0</v>
      </c>
      <c r="K972" s="123"/>
    </row>
    <row r="973" spans="1:11" ht="15" thickBot="1" x14ac:dyDescent="0.4">
      <c r="A973" s="299"/>
      <c r="B973" s="299"/>
      <c r="C973" s="299"/>
      <c r="D973" s="299"/>
      <c r="E973" s="299"/>
      <c r="F973" s="357"/>
      <c r="G973" s="462"/>
      <c r="H973" s="463" t="str">
        <f>Language!A30</f>
        <v>Disposición final</v>
      </c>
      <c r="I973" s="464">
        <f>SUM(J246:J260)</f>
        <v>0</v>
      </c>
      <c r="J973" s="149">
        <f t="shared" si="205"/>
        <v>0</v>
      </c>
      <c r="K973" s="123"/>
    </row>
    <row r="974" spans="1:11" x14ac:dyDescent="0.35">
      <c r="A974" s="299"/>
      <c r="B974" s="299"/>
      <c r="C974" s="299"/>
      <c r="D974" s="299"/>
      <c r="E974" s="299"/>
      <c r="G974" s="466" t="str">
        <f>Language!A31</f>
        <v>Los costos de maestranza se distribuyen de forma proporcional al costo de los vehículos por servicio</v>
      </c>
      <c r="I974" s="299"/>
      <c r="J974" s="357"/>
    </row>
    <row r="975" spans="1:11" x14ac:dyDescent="0.35">
      <c r="A975" s="299"/>
      <c r="B975" s="299"/>
      <c r="C975" s="299"/>
      <c r="D975" s="299"/>
      <c r="E975" s="299"/>
      <c r="F975" s="357"/>
      <c r="G975" s="299"/>
      <c r="H975" s="299"/>
      <c r="I975" s="299"/>
      <c r="J975" s="357"/>
    </row>
  </sheetData>
  <sheetProtection algorithmName="SHA-512" hashValue="R598KbsdelMbXzEcn5v+8WSUJqgmEAOe/PPLPJOKwrfF5w//xfQItVSnhV8HJRbNztaZ3XbbYYGS7t696OIvlg==" saltValue="lnOKmUY3DJa5Izl9UD0eGA==" spinCount="100000" sheet="1" formatCells="0" formatColumns="0" formatRows="0" insertColumns="0" insertRows="0" insertHyperlinks="0" deleteColumns="0" deleteRows="0" sort="0" autoFilter="0" pivotTables="0"/>
  <mergeCells count="24">
    <mergeCell ref="H967:I967"/>
    <mergeCell ref="B7:J7"/>
    <mergeCell ref="B8:B743"/>
    <mergeCell ref="C8:J8"/>
    <mergeCell ref="C134:J134"/>
    <mergeCell ref="C261:J261"/>
    <mergeCell ref="C555:J555"/>
    <mergeCell ref="C632:J632"/>
    <mergeCell ref="C903:J903"/>
    <mergeCell ref="B745:B837"/>
    <mergeCell ref="C768:J768"/>
    <mergeCell ref="C812:J812"/>
    <mergeCell ref="C824:J824"/>
    <mergeCell ref="C839:J839"/>
    <mergeCell ref="C745:J745"/>
    <mergeCell ref="C920:J920"/>
    <mergeCell ref="B2:E5"/>
    <mergeCell ref="C942:J942"/>
    <mergeCell ref="C952:J952"/>
    <mergeCell ref="C856:J856"/>
    <mergeCell ref="B839:B899"/>
    <mergeCell ref="C874:J874"/>
    <mergeCell ref="C886:J886"/>
    <mergeCell ref="B903:B965"/>
  </mergeCells>
  <conditionalFormatting sqref="J467:K500 J579:K579 J588:K588 J9:K9 J262:K262 J984:K1048576 J974:K976 J44:K44 J244:K258 J511:K554 J1:K6 J556:K557 J633:K663 J746:K767 J769:K811 J813:K823 J825:K838 J840:K855 J857:K873 J875:K885 J904:K919 J921:K941 J943:K951 J597:K602 J606:K612 J385:K464 J223:K240 J11:K27 J70:K70 K45:K69 J86:K86 K71:K85 J102:K102 K87:K101 J118:K118 K103:K117 K119:K133 J666:K744 J887:K902 J953:K966 J614:K619 J621:K631">
    <cfRule type="expression" dxfId="166" priority="114">
      <formula>ISERROR(J1)</formula>
    </cfRule>
  </conditionalFormatting>
  <conditionalFormatting sqref="J501:K508">
    <cfRule type="expression" dxfId="165" priority="113">
      <formula>ISERROR(J501)</formula>
    </cfRule>
  </conditionalFormatting>
  <conditionalFormatting sqref="J509:K509">
    <cfRule type="expression" dxfId="164" priority="112">
      <formula>ISERROR(J509)</formula>
    </cfRule>
  </conditionalFormatting>
  <conditionalFormatting sqref="J466:K466">
    <cfRule type="expression" dxfId="163" priority="110">
      <formula>ISERROR(J466)</formula>
    </cfRule>
  </conditionalFormatting>
  <conditionalFormatting sqref="J263:K313">
    <cfRule type="expression" dxfId="162" priority="109">
      <formula>ISERROR(J263)</formula>
    </cfRule>
  </conditionalFormatting>
  <conditionalFormatting sqref="J465:K465">
    <cfRule type="expression" dxfId="161" priority="102">
      <formula>ISERROR(J465)</formula>
    </cfRule>
  </conditionalFormatting>
  <conditionalFormatting sqref="J510:K510">
    <cfRule type="expression" dxfId="160" priority="84">
      <formula>ISERROR(J510)</formula>
    </cfRule>
  </conditionalFormatting>
  <conditionalFormatting sqref="J558:K564">
    <cfRule type="expression" dxfId="159" priority="83">
      <formula>ISERROR(J558)</formula>
    </cfRule>
  </conditionalFormatting>
  <conditionalFormatting sqref="J580:K584">
    <cfRule type="expression" dxfId="158" priority="82">
      <formula>ISERROR(J580)</formula>
    </cfRule>
  </conditionalFormatting>
  <conditionalFormatting sqref="J595:K595">
    <cfRule type="expression" dxfId="157" priority="81">
      <formula>ISERROR(J595)</formula>
    </cfRule>
  </conditionalFormatting>
  <conditionalFormatting sqref="J604:K604">
    <cfRule type="expression" dxfId="156" priority="80">
      <formula>ISERROR(J604)</formula>
    </cfRule>
  </conditionalFormatting>
  <conditionalFormatting sqref="J565:K565">
    <cfRule type="expression" dxfId="155" priority="77">
      <formula>ISERROR(J565)</formula>
    </cfRule>
  </conditionalFormatting>
  <conditionalFormatting sqref="J567:K567">
    <cfRule type="expression" dxfId="154" priority="76">
      <formula>ISERROR(J567)</formula>
    </cfRule>
  </conditionalFormatting>
  <conditionalFormatting sqref="J620:K620">
    <cfRule type="expression" dxfId="153" priority="74">
      <formula>ISERROR(J620)</formula>
    </cfRule>
  </conditionalFormatting>
  <conditionalFormatting sqref="J613:K613">
    <cfRule type="expression" dxfId="152" priority="73">
      <formula>ISERROR(J613)</formula>
    </cfRule>
  </conditionalFormatting>
  <conditionalFormatting sqref="J603:K603">
    <cfRule type="expression" dxfId="151" priority="72">
      <formula>ISERROR(J603)</formula>
    </cfRule>
  </conditionalFormatting>
  <conditionalFormatting sqref="J585:K585">
    <cfRule type="expression" dxfId="150" priority="70">
      <formula>ISERROR(J585)</formula>
    </cfRule>
  </conditionalFormatting>
  <conditionalFormatting sqref="J586:K586">
    <cfRule type="expression" dxfId="149" priority="69">
      <formula>ISERROR(J586)</formula>
    </cfRule>
  </conditionalFormatting>
  <conditionalFormatting sqref="J587:K587">
    <cfRule type="expression" dxfId="148" priority="68">
      <formula>ISERROR(J587)</formula>
    </cfRule>
  </conditionalFormatting>
  <conditionalFormatting sqref="J605:K605">
    <cfRule type="expression" dxfId="147" priority="64">
      <formula>ISERROR(J605)</formula>
    </cfRule>
  </conditionalFormatting>
  <conditionalFormatting sqref="J594:K594">
    <cfRule type="expression" dxfId="146" priority="66">
      <formula>ISERROR(J594)</formula>
    </cfRule>
  </conditionalFormatting>
  <conditionalFormatting sqref="J596:K596">
    <cfRule type="expression" dxfId="145" priority="65">
      <formula>ISERROR(J596)</formula>
    </cfRule>
  </conditionalFormatting>
  <conditionalFormatting sqref="J589:K593">
    <cfRule type="expression" dxfId="144" priority="62">
      <formula>ISERROR(J589)</formula>
    </cfRule>
  </conditionalFormatting>
  <conditionalFormatting sqref="J566:K566">
    <cfRule type="expression" dxfId="143" priority="61">
      <formula>ISERROR(J566)</formula>
    </cfRule>
  </conditionalFormatting>
  <conditionalFormatting sqref="J10:K10">
    <cfRule type="expression" dxfId="142" priority="60">
      <formula>ISERROR(J10)</formula>
    </cfRule>
  </conditionalFormatting>
  <conditionalFormatting sqref="K29:K43">
    <cfRule type="expression" dxfId="141" priority="59">
      <formula>ISERROR(K29)</formula>
    </cfRule>
  </conditionalFormatting>
  <conditionalFormatting sqref="J28:K28">
    <cfRule type="expression" dxfId="140" priority="58">
      <formula>ISERROR(J28)</formula>
    </cfRule>
  </conditionalFormatting>
  <conditionalFormatting sqref="J314:K314">
    <cfRule type="expression" dxfId="139" priority="56">
      <formula>ISERROR(J314)</formula>
    </cfRule>
  </conditionalFormatting>
  <conditionalFormatting sqref="J315:K384">
    <cfRule type="expression" dxfId="138" priority="55">
      <formula>ISERROR(J315)</formula>
    </cfRule>
  </conditionalFormatting>
  <conditionalFormatting sqref="J568:K568">
    <cfRule type="expression" dxfId="137" priority="49">
      <formula>ISERROR(J568)</formula>
    </cfRule>
  </conditionalFormatting>
  <conditionalFormatting sqref="J569:K575">
    <cfRule type="expression" dxfId="136" priority="48">
      <formula>ISERROR(J569)</formula>
    </cfRule>
  </conditionalFormatting>
  <conditionalFormatting sqref="J576:K576">
    <cfRule type="expression" dxfId="135" priority="47">
      <formula>ISERROR(J576)</formula>
    </cfRule>
  </conditionalFormatting>
  <conditionalFormatting sqref="J578:K578">
    <cfRule type="expression" dxfId="134" priority="46">
      <formula>ISERROR(J578)</formula>
    </cfRule>
  </conditionalFormatting>
  <conditionalFormatting sqref="J577:K577">
    <cfRule type="expression" dxfId="133" priority="45">
      <formula>ISERROR(J577)</formula>
    </cfRule>
  </conditionalFormatting>
  <conditionalFormatting sqref="J664:K664">
    <cfRule type="expression" dxfId="132" priority="42">
      <formula>ISERROR(J664)</formula>
    </cfRule>
  </conditionalFormatting>
  <conditionalFormatting sqref="J665:K665">
    <cfRule type="expression" dxfId="131" priority="41">
      <formula>ISERROR(J665)</formula>
    </cfRule>
  </conditionalFormatting>
  <conditionalFormatting sqref="J135:K135">
    <cfRule type="expression" dxfId="130" priority="39">
      <formula>ISERROR(J135)</formula>
    </cfRule>
  </conditionalFormatting>
  <conditionalFormatting sqref="J241:K241">
    <cfRule type="expression" dxfId="129" priority="38">
      <formula>ISERROR(J241)</formula>
    </cfRule>
  </conditionalFormatting>
  <conditionalFormatting sqref="J242:K242">
    <cfRule type="expression" dxfId="128" priority="37">
      <formula>ISERROR(J242)</formula>
    </cfRule>
  </conditionalFormatting>
  <conditionalFormatting sqref="J151:K151">
    <cfRule type="expression" dxfId="127" priority="36">
      <formula>ISERROR(J151)</formula>
    </cfRule>
  </conditionalFormatting>
  <conditionalFormatting sqref="J222:K222">
    <cfRule type="expression" dxfId="126" priority="35">
      <formula>ISERROR(J222)</formula>
    </cfRule>
  </conditionalFormatting>
  <conditionalFormatting sqref="J136:K136">
    <cfRule type="expression" dxfId="125" priority="34">
      <formula>ISERROR(J136)</formula>
    </cfRule>
  </conditionalFormatting>
  <conditionalFormatting sqref="J137:K148">
    <cfRule type="expression" dxfId="124" priority="33">
      <formula>ISERROR(J137)</formula>
    </cfRule>
  </conditionalFormatting>
  <conditionalFormatting sqref="J149:K149">
    <cfRule type="expression" dxfId="123" priority="32">
      <formula>ISERROR(J149)</formula>
    </cfRule>
  </conditionalFormatting>
  <conditionalFormatting sqref="J150:K150">
    <cfRule type="expression" dxfId="122" priority="31">
      <formula>ISERROR(J150)</formula>
    </cfRule>
  </conditionalFormatting>
  <conditionalFormatting sqref="J212:K212 J161:K161">
    <cfRule type="expression" dxfId="121" priority="29">
      <formula>ISERROR(J161)</formula>
    </cfRule>
  </conditionalFormatting>
  <conditionalFormatting sqref="J213:K220">
    <cfRule type="expression" dxfId="120" priority="24">
      <formula>ISERROR(J213)</formula>
    </cfRule>
  </conditionalFormatting>
  <conditionalFormatting sqref="J221:K221">
    <cfRule type="expression" dxfId="119" priority="28">
      <formula>ISERROR(J221)</formula>
    </cfRule>
  </conditionalFormatting>
  <conditionalFormatting sqref="J162:K211">
    <cfRule type="expression" dxfId="118" priority="26">
      <formula>ISERROR(J162)</formula>
    </cfRule>
  </conditionalFormatting>
  <conditionalFormatting sqref="J259:K259">
    <cfRule type="expression" dxfId="117" priority="20">
      <formula>ISERROR(J259)</formula>
    </cfRule>
  </conditionalFormatting>
  <conditionalFormatting sqref="J243:K243">
    <cfRule type="expression" dxfId="116" priority="16">
      <formula>ISERROR(J243)</formula>
    </cfRule>
  </conditionalFormatting>
  <conditionalFormatting sqref="J260:K260">
    <cfRule type="expression" dxfId="115" priority="17">
      <formula>ISERROR(J260)</formula>
    </cfRule>
  </conditionalFormatting>
  <conditionalFormatting sqref="J152:K152">
    <cfRule type="expression" dxfId="114" priority="14">
      <formula>ISERROR(J152)</formula>
    </cfRule>
  </conditionalFormatting>
  <conditionalFormatting sqref="J153:K157">
    <cfRule type="expression" dxfId="113" priority="13">
      <formula>ISERROR(J153)</formula>
    </cfRule>
  </conditionalFormatting>
  <conditionalFormatting sqref="J158:K158">
    <cfRule type="expression" dxfId="112" priority="12">
      <formula>ISERROR(J158)</formula>
    </cfRule>
  </conditionalFormatting>
  <conditionalFormatting sqref="J159:K160">
    <cfRule type="expression" dxfId="111" priority="11">
      <formula>ISERROR(J159)</formula>
    </cfRule>
  </conditionalFormatting>
  <conditionalFormatting sqref="J29:J43">
    <cfRule type="expression" dxfId="110" priority="7">
      <formula>ISERROR(J29)</formula>
    </cfRule>
  </conditionalFormatting>
  <conditionalFormatting sqref="J45:J69">
    <cfRule type="expression" dxfId="109" priority="6">
      <formula>ISERROR(J45)</formula>
    </cfRule>
  </conditionalFormatting>
  <conditionalFormatting sqref="J119:J133">
    <cfRule type="expression" dxfId="108" priority="1">
      <formula>ISERROR(J119)</formula>
    </cfRule>
  </conditionalFormatting>
  <conditionalFormatting sqref="J71:J85">
    <cfRule type="expression" dxfId="107" priority="4">
      <formula>ISERROR(J71)</formula>
    </cfRule>
  </conditionalFormatting>
  <conditionalFormatting sqref="J87:J101">
    <cfRule type="expression" dxfId="106" priority="3">
      <formula>ISERROR(J87)</formula>
    </cfRule>
  </conditionalFormatting>
  <conditionalFormatting sqref="J103:J117">
    <cfRule type="expression" dxfId="105" priority="2">
      <formula>ISERROR(J103)</formula>
    </cfRule>
  </conditionalFormatting>
  <dataValidations count="1">
    <dataValidation type="decimal" operator="greaterThanOrEqual" allowBlank="1" showInputMessage="1" showErrorMessage="1" error="Ingresar un valor numerico" sqref="D137:H151 D558:H567 D71:G85 D29:G43 D103:G117 D569:H578 D944:H952 D515:H555 D45:G69 D642:D645 D622:H632 E642:F647 D699:F713 F667:F679 D213:H222 D731:F744 D437:H466 D826:F838 F901 D841:G856 E672:E681 D11:G27 D580:H587 D87:G101 D235:H244 D224:H233 D246:H261 D264:H313 D386:H435 D153:H160 D119:G134 D499:H513 D162:H211 D648:F649 D651:F665 D647 F681 D681 D747:G768 D876:H886 D315:H384 D888:F899 D905:G920 D770:H812 D858:H874 D814:H824 D715:F729 D683:F697 D589:H596 D598:H605 D468:H497 D672:D679 D667:D668 D670 E667:E670 D671:E671 D635:D636 E635:F638 D638 D639:F641 D922:H942 D607:H620 D954:F965">
      <formula1>0</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Language!$A$45:$A$46</xm:f>
          </x14:formula1>
          <xm:sqref>D901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XFC159"/>
  <sheetViews>
    <sheetView zoomScale="70" zoomScaleNormal="70" workbookViewId="0">
      <selection activeCell="E154" sqref="E154"/>
    </sheetView>
  </sheetViews>
  <sheetFormatPr defaultColWidth="0" defaultRowHeight="14.5" zeroHeight="1" x14ac:dyDescent="0.35"/>
  <cols>
    <col min="1" max="1" width="9.1796875" style="301" customWidth="1"/>
    <col min="2" max="2" width="44.26953125" style="301" customWidth="1"/>
    <col min="3" max="3" width="18" style="301" customWidth="1"/>
    <col min="4" max="4" width="15.453125" style="301" customWidth="1"/>
    <col min="5" max="5" width="34.26953125" style="301" customWidth="1"/>
    <col min="6" max="6" width="16.1796875" style="301" customWidth="1"/>
    <col min="7" max="7" width="37.1796875" style="301" bestFit="1" customWidth="1"/>
    <col min="8" max="8" width="35.1796875" style="301" bestFit="1" customWidth="1"/>
    <col min="9" max="9" width="46" style="299" customWidth="1"/>
    <col min="10" max="10" width="16.7265625" style="301" customWidth="1"/>
    <col min="11" max="16383" width="9.1796875" style="301" hidden="1"/>
    <col min="16384" max="16384" width="13.453125" style="301" hidden="1" customWidth="1"/>
  </cols>
  <sheetData>
    <row r="1" spans="1:10" ht="15" thickBot="1" x14ac:dyDescent="0.4">
      <c r="A1" s="299"/>
      <c r="B1" s="299"/>
      <c r="C1" s="299"/>
      <c r="D1" s="299"/>
      <c r="E1" s="299"/>
      <c r="F1" s="299"/>
      <c r="G1" s="299"/>
      <c r="H1" s="299"/>
      <c r="J1" s="299"/>
    </row>
    <row r="2" spans="1:10" x14ac:dyDescent="0.35">
      <c r="A2" s="299"/>
      <c r="B2" s="842" t="str">
        <f>Language!A50</f>
        <v>Indicaciones de uso:
Se da la posibilidad de ingresar datos de varios años. En caso se usen datos de varios años, tomar nota que el modelo divide los montos totales por la cantidad de años diferentes ingresados para realizar promedios de montos cobrados y facturados.
Por favor utilizar información completa para cada año ingresado.
Si solamente se tiene información para un año entonces utilizar solamente un año.</v>
      </c>
      <c r="C2" s="843"/>
      <c r="D2" s="843"/>
      <c r="E2" s="843"/>
      <c r="F2" s="844"/>
      <c r="G2" s="299"/>
      <c r="H2" s="842" t="str">
        <f>Language!A51</f>
        <v>Indicaciones de uso:
Monto facturado: una facturación fue emitida y entregada
Monto cobrado: el pago fue realizado y contabilizado</v>
      </c>
      <c r="I2" s="844"/>
      <c r="J2" s="299"/>
    </row>
    <row r="3" spans="1:10" x14ac:dyDescent="0.35">
      <c r="A3" s="299"/>
      <c r="B3" s="909"/>
      <c r="C3" s="910"/>
      <c r="D3" s="910"/>
      <c r="E3" s="910"/>
      <c r="F3" s="911"/>
      <c r="G3" s="299"/>
      <c r="H3" s="909"/>
      <c r="I3" s="911"/>
      <c r="J3" s="299"/>
    </row>
    <row r="4" spans="1:10" x14ac:dyDescent="0.35">
      <c r="A4" s="299"/>
      <c r="B4" s="909"/>
      <c r="C4" s="910"/>
      <c r="D4" s="910"/>
      <c r="E4" s="910"/>
      <c r="F4" s="911"/>
      <c r="G4" s="299"/>
      <c r="H4" s="909"/>
      <c r="I4" s="911"/>
      <c r="J4" s="299"/>
    </row>
    <row r="5" spans="1:10" x14ac:dyDescent="0.35">
      <c r="A5" s="299"/>
      <c r="B5" s="909"/>
      <c r="C5" s="910"/>
      <c r="D5" s="910"/>
      <c r="E5" s="910"/>
      <c r="F5" s="911"/>
      <c r="G5" s="299"/>
      <c r="H5" s="909"/>
      <c r="I5" s="911"/>
      <c r="J5" s="299"/>
    </row>
    <row r="6" spans="1:10" x14ac:dyDescent="0.35">
      <c r="A6" s="299"/>
      <c r="B6" s="909"/>
      <c r="C6" s="910"/>
      <c r="D6" s="910"/>
      <c r="E6" s="910"/>
      <c r="F6" s="911"/>
      <c r="G6" s="299"/>
      <c r="H6" s="909"/>
      <c r="I6" s="911"/>
      <c r="J6" s="299"/>
    </row>
    <row r="7" spans="1:10" ht="15" thickBot="1" x14ac:dyDescent="0.4">
      <c r="A7" s="299"/>
      <c r="B7" s="845"/>
      <c r="C7" s="846"/>
      <c r="D7" s="846"/>
      <c r="E7" s="846"/>
      <c r="F7" s="847"/>
      <c r="G7" s="299"/>
      <c r="H7" s="845"/>
      <c r="I7" s="847"/>
      <c r="J7" s="299"/>
    </row>
    <row r="8" spans="1:10" ht="15" thickBot="1" x14ac:dyDescent="0.4">
      <c r="A8" s="299"/>
      <c r="B8" s="299"/>
      <c r="C8" s="299"/>
      <c r="D8" s="299"/>
      <c r="E8" s="299"/>
      <c r="F8" s="299"/>
      <c r="G8" s="299"/>
      <c r="H8" s="299"/>
      <c r="J8" s="299"/>
    </row>
    <row r="9" spans="1:10" ht="24" thickBot="1" x14ac:dyDescent="0.4">
      <c r="A9" s="299"/>
      <c r="B9" s="914" t="str">
        <f>Language!A52</f>
        <v>Ingreso de ingresos del servicio de gestión de residuos sólidos</v>
      </c>
      <c r="C9" s="915"/>
      <c r="D9" s="915"/>
      <c r="E9" s="915"/>
      <c r="F9" s="915"/>
      <c r="G9" s="915"/>
      <c r="H9" s="915"/>
      <c r="I9" s="916"/>
      <c r="J9" s="299"/>
    </row>
    <row r="10" spans="1:10" ht="24" customHeight="1" thickBot="1" x14ac:dyDescent="0.4">
      <c r="A10" s="299"/>
      <c r="B10" s="917" t="str">
        <f>Language!A53</f>
        <v>Facturaciones domiciliares</v>
      </c>
      <c r="C10" s="918"/>
      <c r="D10" s="918"/>
      <c r="E10" s="918"/>
      <c r="F10" s="918"/>
      <c r="G10" s="918"/>
      <c r="H10" s="918"/>
      <c r="I10" s="919"/>
      <c r="J10" s="299"/>
    </row>
    <row r="11" spans="1:10" ht="29" x14ac:dyDescent="0.35">
      <c r="A11" s="299"/>
      <c r="B11" s="467" t="str">
        <f>Language!A54</f>
        <v>Descripción</v>
      </c>
      <c r="C11" s="468" t="str">
        <f>Language!A55</f>
        <v>Año</v>
      </c>
      <c r="D11" s="468" t="str">
        <f>Language!A56</f>
        <v>Unidades</v>
      </c>
      <c r="E11" s="469" t="str">
        <f>Language!A57</f>
        <v>Monto facturado por unidad [$$$/año]</v>
      </c>
      <c r="F11" s="468" t="str">
        <f>Language!A58</f>
        <v>Morosidad [%]</v>
      </c>
      <c r="G11" s="468" t="str">
        <f>Language!A59</f>
        <v>Monto total recibido por año [$$$/año]</v>
      </c>
      <c r="H11" s="468" t="str">
        <f>Language!A60</f>
        <v>Monto total facturado [$$$/año]</v>
      </c>
      <c r="I11" s="470" t="str">
        <f>Language!A61</f>
        <v>Monto total facturado calculado [$$$/año]
para control cruzado</v>
      </c>
      <c r="J11" s="471"/>
    </row>
    <row r="12" spans="1:10" x14ac:dyDescent="0.35">
      <c r="A12" s="299"/>
      <c r="B12" s="97" t="s">
        <v>759</v>
      </c>
      <c r="C12" s="4">
        <v>2019</v>
      </c>
      <c r="D12" s="4">
        <v>1</v>
      </c>
      <c r="E12" s="66">
        <v>12000000</v>
      </c>
      <c r="F12" s="224">
        <f>IFERROR(1-('2) Ingresos'!$G12/'2) Ingresos'!$H12),"")</f>
        <v>0.16666666666666663</v>
      </c>
      <c r="G12" s="66">
        <v>10000000</v>
      </c>
      <c r="H12" s="66">
        <v>12000000</v>
      </c>
      <c r="I12" s="472">
        <f>IF('2) Ingresos'!$D12*'2) Ingresos'!$E12=0,"",'2) Ingresos'!$D12*'2) Ingresos'!$E12)</f>
        <v>12000000</v>
      </c>
      <c r="J12" s="299"/>
    </row>
    <row r="13" spans="1:10" x14ac:dyDescent="0.35">
      <c r="A13" s="299"/>
      <c r="B13" s="65" t="s">
        <v>760</v>
      </c>
      <c r="C13" s="4">
        <v>2019</v>
      </c>
      <c r="D13" s="4">
        <v>0</v>
      </c>
      <c r="E13" s="66">
        <v>0</v>
      </c>
      <c r="F13" s="224" t="str">
        <f>IFERROR(1-('2) Ingresos'!$G13/'2) Ingresos'!$H13),"")</f>
        <v/>
      </c>
      <c r="G13" s="66">
        <v>0</v>
      </c>
      <c r="H13" s="66">
        <v>0</v>
      </c>
      <c r="I13" s="472" t="str">
        <f>IF('2) Ingresos'!$D13*'2) Ingresos'!$E13=0,"",'2) Ingresos'!$D13*'2) Ingresos'!$E13)</f>
        <v/>
      </c>
      <c r="J13" s="299"/>
    </row>
    <row r="14" spans="1:10" x14ac:dyDescent="0.35">
      <c r="A14" s="299"/>
      <c r="B14" s="65" t="s">
        <v>761</v>
      </c>
      <c r="C14" s="4">
        <v>2019</v>
      </c>
      <c r="D14" s="4">
        <v>0</v>
      </c>
      <c r="E14" s="66">
        <v>0</v>
      </c>
      <c r="F14" s="224" t="str">
        <f>IFERROR(1-('2) Ingresos'!$G14/'2) Ingresos'!$H14),"")</f>
        <v/>
      </c>
      <c r="G14" s="66">
        <v>0</v>
      </c>
      <c r="H14" s="66">
        <v>0</v>
      </c>
      <c r="I14" s="472" t="str">
        <f>IF('2) Ingresos'!$D14*'2) Ingresos'!$E14=0,"",'2) Ingresos'!$D14*'2) Ingresos'!$E14)</f>
        <v/>
      </c>
      <c r="J14" s="299"/>
    </row>
    <row r="15" spans="1:10" x14ac:dyDescent="0.35">
      <c r="A15" s="299"/>
      <c r="B15" s="65" t="s">
        <v>762</v>
      </c>
      <c r="C15" s="4">
        <v>2019</v>
      </c>
      <c r="D15" s="4">
        <v>0</v>
      </c>
      <c r="E15" s="66">
        <v>0</v>
      </c>
      <c r="F15" s="224" t="str">
        <f>IFERROR(1-('2) Ingresos'!$G15/'2) Ingresos'!$H15),"")</f>
        <v/>
      </c>
      <c r="G15" s="66">
        <v>0</v>
      </c>
      <c r="H15" s="66">
        <v>0</v>
      </c>
      <c r="I15" s="472" t="str">
        <f>IF('2) Ingresos'!$D15*'2) Ingresos'!$E15=0,"",'2) Ingresos'!$D15*'2) Ingresos'!$E15)</f>
        <v/>
      </c>
      <c r="J15" s="299"/>
    </row>
    <row r="16" spans="1:10" x14ac:dyDescent="0.35">
      <c r="A16" s="299"/>
      <c r="B16" s="65" t="s">
        <v>377</v>
      </c>
      <c r="C16" s="4"/>
      <c r="D16" s="4"/>
      <c r="E16" s="66"/>
      <c r="F16" s="224" t="str">
        <f>IFERROR(1-('2) Ingresos'!$G16/'2) Ingresos'!$H16),"")</f>
        <v/>
      </c>
      <c r="G16" s="66"/>
      <c r="H16" s="66"/>
      <c r="I16" s="472" t="str">
        <f>IF('2) Ingresos'!$D16*'2) Ingresos'!$E16=0,"",'2) Ingresos'!$D16*'2) Ingresos'!$E16)</f>
        <v/>
      </c>
      <c r="J16" s="299"/>
    </row>
    <row r="17" spans="1:10" x14ac:dyDescent="0.35">
      <c r="A17" s="299"/>
      <c r="B17" s="65" t="s">
        <v>377</v>
      </c>
      <c r="C17" s="4"/>
      <c r="D17" s="4"/>
      <c r="E17" s="66"/>
      <c r="F17" s="224" t="str">
        <f>IFERROR(1-('2) Ingresos'!$G17/'2) Ingresos'!$H17),"")</f>
        <v/>
      </c>
      <c r="G17" s="66"/>
      <c r="H17" s="66"/>
      <c r="I17" s="472" t="str">
        <f>IF('2) Ingresos'!$D17*'2) Ingresos'!$E17=0,"",'2) Ingresos'!$D17*'2) Ingresos'!$E17)</f>
        <v/>
      </c>
      <c r="J17" s="299"/>
    </row>
    <row r="18" spans="1:10" x14ac:dyDescent="0.35">
      <c r="A18" s="299"/>
      <c r="B18" s="65" t="s">
        <v>377</v>
      </c>
      <c r="C18" s="4"/>
      <c r="D18" s="4"/>
      <c r="E18" s="66"/>
      <c r="F18" s="224" t="str">
        <f>IFERROR(1-('2) Ingresos'!$G18/'2) Ingresos'!$H18),"")</f>
        <v/>
      </c>
      <c r="G18" s="66"/>
      <c r="H18" s="66"/>
      <c r="I18" s="472" t="str">
        <f>IF('2) Ingresos'!$D18*'2) Ingresos'!$E18=0,"",'2) Ingresos'!$D18*'2) Ingresos'!$E18)</f>
        <v/>
      </c>
      <c r="J18" s="299"/>
    </row>
    <row r="19" spans="1:10" x14ac:dyDescent="0.35">
      <c r="A19" s="299"/>
      <c r="B19" s="65" t="s">
        <v>377</v>
      </c>
      <c r="C19" s="4"/>
      <c r="D19" s="4"/>
      <c r="E19" s="66"/>
      <c r="F19" s="224" t="str">
        <f>IFERROR(1-('2) Ingresos'!$G19/'2) Ingresos'!$H19),"")</f>
        <v/>
      </c>
      <c r="G19" s="66"/>
      <c r="H19" s="66"/>
      <c r="I19" s="472" t="str">
        <f>IF('2) Ingresos'!$D19*'2) Ingresos'!$E19=0,"",'2) Ingresos'!$D19*'2) Ingresos'!$E19)</f>
        <v/>
      </c>
      <c r="J19" s="299"/>
    </row>
    <row r="20" spans="1:10" x14ac:dyDescent="0.35">
      <c r="A20" s="299"/>
      <c r="B20" s="65" t="s">
        <v>377</v>
      </c>
      <c r="C20" s="4"/>
      <c r="D20" s="4"/>
      <c r="E20" s="66"/>
      <c r="F20" s="224" t="str">
        <f>IFERROR(1-('2) Ingresos'!$G20/'2) Ingresos'!$H20),"")</f>
        <v/>
      </c>
      <c r="G20" s="66"/>
      <c r="H20" s="66"/>
      <c r="I20" s="472" t="str">
        <f>IF('2) Ingresos'!$D20*'2) Ingresos'!$E20=0,"",'2) Ingresos'!$D20*'2) Ingresos'!$E20)</f>
        <v/>
      </c>
      <c r="J20" s="299"/>
    </row>
    <row r="21" spans="1:10" x14ac:dyDescent="0.35">
      <c r="A21" s="299"/>
      <c r="B21" s="65" t="s">
        <v>377</v>
      </c>
      <c r="C21" s="4"/>
      <c r="D21" s="4"/>
      <c r="E21" s="66"/>
      <c r="F21" s="224" t="str">
        <f>IFERROR(1-('2) Ingresos'!$G21/'2) Ingresos'!$H21),"")</f>
        <v/>
      </c>
      <c r="G21" s="66"/>
      <c r="H21" s="66"/>
      <c r="I21" s="472" t="str">
        <f>IF('2) Ingresos'!$D21*'2) Ingresos'!$E21=0,"",'2) Ingresos'!$D21*'2) Ingresos'!$E21)</f>
        <v/>
      </c>
      <c r="J21" s="299"/>
    </row>
    <row r="22" spans="1:10" x14ac:dyDescent="0.35">
      <c r="A22" s="299"/>
      <c r="B22" s="65" t="s">
        <v>377</v>
      </c>
      <c r="C22" s="4"/>
      <c r="D22" s="4"/>
      <c r="E22" s="66"/>
      <c r="F22" s="224" t="str">
        <f>IFERROR(1-('2) Ingresos'!$G22/'2) Ingresos'!$H22),"")</f>
        <v/>
      </c>
      <c r="G22" s="66"/>
      <c r="H22" s="66"/>
      <c r="I22" s="472" t="str">
        <f>IF('2) Ingresos'!$D22*'2) Ingresos'!$E22=0,"",'2) Ingresos'!$D22*'2) Ingresos'!$E22)</f>
        <v/>
      </c>
      <c r="J22" s="299"/>
    </row>
    <row r="23" spans="1:10" x14ac:dyDescent="0.35">
      <c r="A23" s="299"/>
      <c r="B23" s="65" t="s">
        <v>377</v>
      </c>
      <c r="C23" s="4"/>
      <c r="D23" s="4"/>
      <c r="E23" s="66"/>
      <c r="F23" s="224" t="str">
        <f>IFERROR(1-('2) Ingresos'!$G23/'2) Ingresos'!$H23),"")</f>
        <v/>
      </c>
      <c r="G23" s="66"/>
      <c r="H23" s="66"/>
      <c r="I23" s="472" t="str">
        <f>IF('2) Ingresos'!$D23*'2) Ingresos'!$E23=0,"",'2) Ingresos'!$D23*'2) Ingresos'!$E23)</f>
        <v/>
      </c>
      <c r="J23" s="299"/>
    </row>
    <row r="24" spans="1:10" x14ac:dyDescent="0.35">
      <c r="A24" s="299"/>
      <c r="B24" s="65" t="s">
        <v>377</v>
      </c>
      <c r="C24" s="4"/>
      <c r="D24" s="4"/>
      <c r="E24" s="66"/>
      <c r="F24" s="224" t="str">
        <f>IFERROR(1-('2) Ingresos'!$G24/'2) Ingresos'!$H24),"")</f>
        <v/>
      </c>
      <c r="G24" s="66"/>
      <c r="H24" s="66"/>
      <c r="I24" s="472" t="str">
        <f>IF('2) Ingresos'!$D24*'2) Ingresos'!$E24=0,"",'2) Ingresos'!$D24*'2) Ingresos'!$E24)</f>
        <v/>
      </c>
      <c r="J24" s="299"/>
    </row>
    <row r="25" spans="1:10" x14ac:dyDescent="0.35">
      <c r="A25" s="299"/>
      <c r="B25" s="65" t="s">
        <v>377</v>
      </c>
      <c r="C25" s="4"/>
      <c r="D25" s="4"/>
      <c r="E25" s="66"/>
      <c r="F25" s="224" t="str">
        <f>IFERROR(1-('2) Ingresos'!$G25/'2) Ingresos'!$H25),"")</f>
        <v/>
      </c>
      <c r="G25" s="66"/>
      <c r="H25" s="66"/>
      <c r="I25" s="472" t="str">
        <f>IF('2) Ingresos'!$D25*'2) Ingresos'!$E25=0,"",'2) Ingresos'!$D25*'2) Ingresos'!$E25)</f>
        <v/>
      </c>
      <c r="J25" s="299"/>
    </row>
    <row r="26" spans="1:10" x14ac:dyDescent="0.35">
      <c r="A26" s="299"/>
      <c r="B26" s="65" t="s">
        <v>377</v>
      </c>
      <c r="C26" s="4"/>
      <c r="D26" s="4"/>
      <c r="E26" s="66"/>
      <c r="F26" s="224" t="str">
        <f>IFERROR(1-('2) Ingresos'!$G26/'2) Ingresos'!$H26),"")</f>
        <v/>
      </c>
      <c r="G26" s="66"/>
      <c r="H26" s="66"/>
      <c r="I26" s="472" t="str">
        <f>IF('2) Ingresos'!$D26*'2) Ingresos'!$E26=0,"",'2) Ingresos'!$D26*'2) Ingresos'!$E26)</f>
        <v/>
      </c>
      <c r="J26" s="299"/>
    </row>
    <row r="27" spans="1:10" x14ac:dyDescent="0.35">
      <c r="A27" s="299"/>
      <c r="B27" s="65" t="s">
        <v>377</v>
      </c>
      <c r="C27" s="4"/>
      <c r="D27" s="4"/>
      <c r="E27" s="66"/>
      <c r="F27" s="224" t="str">
        <f>IFERROR(1-('2) Ingresos'!$G27/'2) Ingresos'!$H27),"")</f>
        <v/>
      </c>
      <c r="G27" s="66"/>
      <c r="H27" s="66"/>
      <c r="I27" s="472" t="str">
        <f>IF('2) Ingresos'!$D27*'2) Ingresos'!$E27=0,"",'2) Ingresos'!$D27*'2) Ingresos'!$E27)</f>
        <v/>
      </c>
      <c r="J27" s="299"/>
    </row>
    <row r="28" spans="1:10" x14ac:dyDescent="0.35">
      <c r="A28" s="299"/>
      <c r="B28" s="65" t="s">
        <v>377</v>
      </c>
      <c r="C28" s="4"/>
      <c r="D28" s="4"/>
      <c r="E28" s="66"/>
      <c r="F28" s="224" t="str">
        <f>IFERROR(1-('2) Ingresos'!$G28/'2) Ingresos'!$H28),"")</f>
        <v/>
      </c>
      <c r="G28" s="66"/>
      <c r="H28" s="66"/>
      <c r="I28" s="472" t="str">
        <f>IF('2) Ingresos'!$D28*'2) Ingresos'!$E28=0,"",'2) Ingresos'!$D28*'2) Ingresos'!$E28)</f>
        <v/>
      </c>
      <c r="J28" s="299"/>
    </row>
    <row r="29" spans="1:10" x14ac:dyDescent="0.35">
      <c r="A29" s="299"/>
      <c r="B29" s="65" t="s">
        <v>377</v>
      </c>
      <c r="C29" s="4"/>
      <c r="D29" s="4"/>
      <c r="E29" s="66"/>
      <c r="F29" s="224" t="str">
        <f>IFERROR(1-('2) Ingresos'!$G29/'2) Ingresos'!$H29),"")</f>
        <v/>
      </c>
      <c r="G29" s="66"/>
      <c r="H29" s="66"/>
      <c r="I29" s="472" t="str">
        <f>IF('2) Ingresos'!$D29*'2) Ingresos'!$E29=0,"",'2) Ingresos'!$D29*'2) Ingresos'!$E29)</f>
        <v/>
      </c>
      <c r="J29" s="299"/>
    </row>
    <row r="30" spans="1:10" x14ac:dyDescent="0.35">
      <c r="A30" s="299"/>
      <c r="B30" s="65" t="s">
        <v>377</v>
      </c>
      <c r="C30" s="4"/>
      <c r="D30" s="4"/>
      <c r="E30" s="66"/>
      <c r="F30" s="224" t="str">
        <f>IFERROR(1-('2) Ingresos'!$G30/'2) Ingresos'!$H30),"")</f>
        <v/>
      </c>
      <c r="G30" s="66"/>
      <c r="H30" s="66"/>
      <c r="I30" s="472" t="str">
        <f>IF('2) Ingresos'!$D30*'2) Ingresos'!$E30=0,"",'2) Ingresos'!$D30*'2) Ingresos'!$E30)</f>
        <v/>
      </c>
      <c r="J30" s="299"/>
    </row>
    <row r="31" spans="1:10" x14ac:dyDescent="0.35">
      <c r="A31" s="299"/>
      <c r="B31" s="65" t="s">
        <v>377</v>
      </c>
      <c r="C31" s="4"/>
      <c r="D31" s="4"/>
      <c r="E31" s="66"/>
      <c r="F31" s="224" t="str">
        <f>IFERROR(1-('2) Ingresos'!$G31/'2) Ingresos'!$H31),"")</f>
        <v/>
      </c>
      <c r="G31" s="66"/>
      <c r="H31" s="66"/>
      <c r="I31" s="472" t="str">
        <f>IF('2) Ingresos'!$D31*'2) Ingresos'!$E31=0,"",'2) Ingresos'!$D31*'2) Ingresos'!$E31)</f>
        <v/>
      </c>
      <c r="J31" s="299"/>
    </row>
    <row r="32" spans="1:10" x14ac:dyDescent="0.35">
      <c r="A32" s="299"/>
      <c r="B32" s="65" t="s">
        <v>377</v>
      </c>
      <c r="C32" s="4"/>
      <c r="D32" s="4"/>
      <c r="E32" s="66"/>
      <c r="F32" s="224" t="str">
        <f>IFERROR(1-('2) Ingresos'!$G32/'2) Ingresos'!$H32),"")</f>
        <v/>
      </c>
      <c r="G32" s="66"/>
      <c r="H32" s="66"/>
      <c r="I32" s="472" t="str">
        <f>IF('2) Ingresos'!$D32*'2) Ingresos'!$E32=0,"",'2) Ingresos'!$D32*'2) Ingresos'!$E32)</f>
        <v/>
      </c>
      <c r="J32" s="299"/>
    </row>
    <row r="33" spans="1:10" x14ac:dyDescent="0.35">
      <c r="A33" s="299"/>
      <c r="B33" s="65" t="s">
        <v>377</v>
      </c>
      <c r="C33" s="4"/>
      <c r="D33" s="4"/>
      <c r="E33" s="66"/>
      <c r="F33" s="224" t="str">
        <f>IFERROR(1-('2) Ingresos'!$G33/'2) Ingresos'!$H33),"")</f>
        <v/>
      </c>
      <c r="G33" s="66"/>
      <c r="H33" s="66"/>
      <c r="I33" s="472" t="str">
        <f>IF('2) Ingresos'!$D33*'2) Ingresos'!$E33=0,"",'2) Ingresos'!$D33*'2) Ingresos'!$E33)</f>
        <v/>
      </c>
      <c r="J33" s="299"/>
    </row>
    <row r="34" spans="1:10" x14ac:dyDescent="0.35">
      <c r="A34" s="299"/>
      <c r="B34" s="65" t="s">
        <v>377</v>
      </c>
      <c r="C34" s="4"/>
      <c r="D34" s="4"/>
      <c r="E34" s="66"/>
      <c r="F34" s="224" t="str">
        <f>IFERROR(1-('2) Ingresos'!$G34/'2) Ingresos'!$H34),"")</f>
        <v/>
      </c>
      <c r="G34" s="66"/>
      <c r="H34" s="66"/>
      <c r="I34" s="472" t="str">
        <f>IF('2) Ingresos'!$D34*'2) Ingresos'!$E34=0,"",'2) Ingresos'!$D34*'2) Ingresos'!$E34)</f>
        <v/>
      </c>
      <c r="J34" s="299"/>
    </row>
    <row r="35" spans="1:10" x14ac:dyDescent="0.35">
      <c r="A35" s="299"/>
      <c r="B35" s="65" t="s">
        <v>377</v>
      </c>
      <c r="C35" s="4"/>
      <c r="D35" s="4"/>
      <c r="E35" s="66"/>
      <c r="F35" s="224" t="str">
        <f>IFERROR(1-('2) Ingresos'!$G35/'2) Ingresos'!$H35),"")</f>
        <v/>
      </c>
      <c r="G35" s="66"/>
      <c r="H35" s="66"/>
      <c r="I35" s="472" t="str">
        <f>IF('2) Ingresos'!$D35*'2) Ingresos'!$E35=0,"",'2) Ingresos'!$D35*'2) Ingresos'!$E35)</f>
        <v/>
      </c>
      <c r="J35" s="299"/>
    </row>
    <row r="36" spans="1:10" x14ac:dyDescent="0.35">
      <c r="A36" s="299"/>
      <c r="B36" s="65" t="s">
        <v>377</v>
      </c>
      <c r="C36" s="4"/>
      <c r="D36" s="4"/>
      <c r="E36" s="66"/>
      <c r="F36" s="224" t="str">
        <f>IFERROR(1-('2) Ingresos'!$G36/'2) Ingresos'!$H36),"")</f>
        <v/>
      </c>
      <c r="G36" s="66"/>
      <c r="H36" s="66"/>
      <c r="I36" s="472" t="str">
        <f>IF('2) Ingresos'!$D36*'2) Ingresos'!$E36=0,"",'2) Ingresos'!$D36*'2) Ingresos'!$E36)</f>
        <v/>
      </c>
      <c r="J36" s="299"/>
    </row>
    <row r="37" spans="1:10" x14ac:dyDescent="0.35">
      <c r="A37" s="299"/>
      <c r="B37" s="65" t="s">
        <v>377</v>
      </c>
      <c r="C37" s="4"/>
      <c r="D37" s="4"/>
      <c r="E37" s="66"/>
      <c r="F37" s="224" t="str">
        <f>IFERROR(1-('2) Ingresos'!$G37/'2) Ingresos'!$H37),"")</f>
        <v/>
      </c>
      <c r="G37" s="66"/>
      <c r="H37" s="66"/>
      <c r="I37" s="472" t="str">
        <f>IF('2) Ingresos'!$D37*'2) Ingresos'!$E37=0,"",'2) Ingresos'!$D37*'2) Ingresos'!$E37)</f>
        <v/>
      </c>
      <c r="J37" s="299"/>
    </row>
    <row r="38" spans="1:10" x14ac:dyDescent="0.35">
      <c r="A38" s="299"/>
      <c r="B38" s="65" t="s">
        <v>377</v>
      </c>
      <c r="C38" s="4"/>
      <c r="D38" s="4"/>
      <c r="E38" s="66"/>
      <c r="F38" s="224" t="str">
        <f>IFERROR(1-('2) Ingresos'!$G38/'2) Ingresos'!$H38),"")</f>
        <v/>
      </c>
      <c r="G38" s="66"/>
      <c r="H38" s="66"/>
      <c r="I38" s="472" t="str">
        <f>IF('2) Ingresos'!$D38*'2) Ingresos'!$E38=0,"",'2) Ingresos'!$D38*'2) Ingresos'!$E38)</f>
        <v/>
      </c>
      <c r="J38" s="299"/>
    </row>
    <row r="39" spans="1:10" x14ac:dyDescent="0.35">
      <c r="A39" s="299"/>
      <c r="B39" s="65" t="s">
        <v>377</v>
      </c>
      <c r="C39" s="4"/>
      <c r="D39" s="4"/>
      <c r="E39" s="66"/>
      <c r="F39" s="224" t="str">
        <f>IFERROR(1-('2) Ingresos'!$G39/'2) Ingresos'!$H39),"")</f>
        <v/>
      </c>
      <c r="G39" s="66"/>
      <c r="H39" s="66"/>
      <c r="I39" s="472" t="str">
        <f>IF('2) Ingresos'!$D39*'2) Ingresos'!$E39=0,"",'2) Ingresos'!$D39*'2) Ingresos'!$E39)</f>
        <v/>
      </c>
      <c r="J39" s="299"/>
    </row>
    <row r="40" spans="1:10" ht="15" thickBot="1" x14ac:dyDescent="0.4">
      <c r="A40" s="299"/>
      <c r="B40" s="98" t="s">
        <v>377</v>
      </c>
      <c r="C40" s="6"/>
      <c r="D40" s="6"/>
      <c r="E40" s="67"/>
      <c r="F40" s="224" t="str">
        <f>IFERROR(1-('2) Ingresos'!$G40/'2) Ingresos'!$H40),"")</f>
        <v/>
      </c>
      <c r="G40" s="67"/>
      <c r="H40" s="67"/>
      <c r="I40" s="472" t="str">
        <f>IF('2) Ingresos'!$D40*'2) Ingresos'!$E40=0,"",'2) Ingresos'!$D40*'2) Ingresos'!$E40)</f>
        <v/>
      </c>
      <c r="J40" s="299"/>
    </row>
    <row r="41" spans="1:10" ht="21.5" thickBot="1" x14ac:dyDescent="0.4">
      <c r="A41" s="299"/>
      <c r="B41" s="920" t="str">
        <f>Language!A62</f>
        <v>Facturaciones no domiciliares</v>
      </c>
      <c r="C41" s="921"/>
      <c r="D41" s="921"/>
      <c r="E41" s="921"/>
      <c r="F41" s="921"/>
      <c r="G41" s="921"/>
      <c r="H41" s="921"/>
      <c r="I41" s="922"/>
      <c r="J41" s="299"/>
    </row>
    <row r="42" spans="1:10" ht="29" x14ac:dyDescent="0.35">
      <c r="A42" s="299"/>
      <c r="B42" s="467" t="str">
        <f>Language!A54</f>
        <v>Descripción</v>
      </c>
      <c r="C42" s="474" t="str">
        <f>Language!A55</f>
        <v>Año</v>
      </c>
      <c r="D42" s="468" t="str">
        <f>Language!A56</f>
        <v>Unidades</v>
      </c>
      <c r="E42" s="469" t="str">
        <f>Language!A57</f>
        <v>Monto facturado por unidad [$$$/año]</v>
      </c>
      <c r="F42" s="468" t="str">
        <f>Language!A58</f>
        <v>Morosidad [%]</v>
      </c>
      <c r="G42" s="468" t="str">
        <f>Language!A59</f>
        <v>Monto total recibido por año [$$$/año]</v>
      </c>
      <c r="H42" s="468" t="str">
        <f>Language!A60</f>
        <v>Monto total facturado [$$$/año]</v>
      </c>
      <c r="I42" s="475" t="str">
        <f>Language!A61</f>
        <v>Monto total facturado calculado [$$$/año]
para control cruzado</v>
      </c>
      <c r="J42" s="299"/>
    </row>
    <row r="43" spans="1:10" x14ac:dyDescent="0.35">
      <c r="A43" s="299"/>
      <c r="B43" s="97" t="s">
        <v>763</v>
      </c>
      <c r="C43" s="4">
        <v>2019</v>
      </c>
      <c r="D43" s="94">
        <v>0</v>
      </c>
      <c r="E43" s="66">
        <v>0</v>
      </c>
      <c r="F43" s="476" t="str">
        <f>IFERROR(1-('2) Ingresos'!$G43/'2) Ingresos'!$H43),"")</f>
        <v/>
      </c>
      <c r="G43" s="66">
        <v>0</v>
      </c>
      <c r="H43" s="99">
        <v>0</v>
      </c>
      <c r="I43" s="472" t="str">
        <f>IF('2) Ingresos'!$D43*'2) Ingresos'!$E43=0,"",'2) Ingresos'!$D43*'2) Ingresos'!$E43)</f>
        <v/>
      </c>
      <c r="J43" s="299"/>
    </row>
    <row r="44" spans="1:10" x14ac:dyDescent="0.35">
      <c r="A44" s="299"/>
      <c r="B44" s="65" t="s">
        <v>764</v>
      </c>
      <c r="C44" s="4">
        <v>2019</v>
      </c>
      <c r="D44" s="94">
        <v>0</v>
      </c>
      <c r="E44" s="66">
        <v>0</v>
      </c>
      <c r="F44" s="476" t="str">
        <f>IFERROR(1-('2) Ingresos'!$G44/'2) Ingresos'!$H44),"")</f>
        <v/>
      </c>
      <c r="G44" s="66">
        <v>0</v>
      </c>
      <c r="H44" s="99">
        <v>0</v>
      </c>
      <c r="I44" s="472" t="str">
        <f>IF('2) Ingresos'!$D44*'2) Ingresos'!$E44=0,"",'2) Ingresos'!$D44*'2) Ingresos'!$E44)</f>
        <v/>
      </c>
      <c r="J44" s="299"/>
    </row>
    <row r="45" spans="1:10" x14ac:dyDescent="0.35">
      <c r="A45" s="299"/>
      <c r="B45" s="65" t="s">
        <v>765</v>
      </c>
      <c r="C45" s="4">
        <v>2019</v>
      </c>
      <c r="D45" s="94">
        <v>0</v>
      </c>
      <c r="E45" s="66">
        <v>0</v>
      </c>
      <c r="F45" s="476" t="str">
        <f>IFERROR(1-('2) Ingresos'!$G45/'2) Ingresos'!$H45),"")</f>
        <v/>
      </c>
      <c r="G45" s="66"/>
      <c r="H45" s="99"/>
      <c r="I45" s="472" t="str">
        <f>IF('2) Ingresos'!$D45*'2) Ingresos'!$E45=0,"",'2) Ingresos'!$D45*'2) Ingresos'!$E45)</f>
        <v/>
      </c>
      <c r="J45" s="299"/>
    </row>
    <row r="46" spans="1:10" x14ac:dyDescent="0.35">
      <c r="A46" s="299"/>
      <c r="B46" s="65" t="s">
        <v>377</v>
      </c>
      <c r="C46" s="4"/>
      <c r="D46" s="94"/>
      <c r="E46" s="66"/>
      <c r="F46" s="476" t="str">
        <f>IFERROR(1-('2) Ingresos'!$G46/'2) Ingresos'!$H46),"")</f>
        <v/>
      </c>
      <c r="G46" s="66"/>
      <c r="H46" s="66"/>
      <c r="I46" s="472" t="str">
        <f>IF('2) Ingresos'!$D46*'2) Ingresos'!$E46=0,"",'2) Ingresos'!$D46*'2) Ingresos'!$E46)</f>
        <v/>
      </c>
      <c r="J46" s="299"/>
    </row>
    <row r="47" spans="1:10" x14ac:dyDescent="0.35">
      <c r="A47" s="299"/>
      <c r="B47" s="65" t="s">
        <v>377</v>
      </c>
      <c r="C47" s="4"/>
      <c r="D47" s="94"/>
      <c r="E47" s="66"/>
      <c r="F47" s="476" t="str">
        <f>IFERROR(1-('2) Ingresos'!$G47/'2) Ingresos'!$H47),"")</f>
        <v/>
      </c>
      <c r="G47" s="66"/>
      <c r="H47" s="66"/>
      <c r="I47" s="472" t="str">
        <f>IF('2) Ingresos'!$D47*'2) Ingresos'!$E47=0,"",'2) Ingresos'!$D47*'2) Ingresos'!$E47)</f>
        <v/>
      </c>
      <c r="J47" s="299"/>
    </row>
    <row r="48" spans="1:10" x14ac:dyDescent="0.35">
      <c r="A48" s="299"/>
      <c r="B48" s="65" t="s">
        <v>377</v>
      </c>
      <c r="C48" s="4"/>
      <c r="D48" s="94"/>
      <c r="E48" s="66"/>
      <c r="F48" s="476" t="str">
        <f>IFERROR(1-('2) Ingresos'!$G48/'2) Ingresos'!$H48),"")</f>
        <v/>
      </c>
      <c r="G48" s="66"/>
      <c r="H48" s="66"/>
      <c r="I48" s="472" t="str">
        <f>IF('2) Ingresos'!$D48*'2) Ingresos'!$E48=0,"",'2) Ingresos'!$D48*'2) Ingresos'!$E48)</f>
        <v/>
      </c>
      <c r="J48" s="299"/>
    </row>
    <row r="49" spans="1:10" x14ac:dyDescent="0.35">
      <c r="A49" s="299"/>
      <c r="B49" s="65" t="s">
        <v>377</v>
      </c>
      <c r="C49" s="4"/>
      <c r="D49" s="94"/>
      <c r="E49" s="66"/>
      <c r="F49" s="476" t="str">
        <f>IFERROR(1-('2) Ingresos'!$G49/'2) Ingresos'!$H49),"")</f>
        <v/>
      </c>
      <c r="G49" s="66"/>
      <c r="H49" s="66"/>
      <c r="I49" s="472" t="str">
        <f>IF('2) Ingresos'!$D49*'2) Ingresos'!$E49=0,"",'2) Ingresos'!$D49*'2) Ingresos'!$E49)</f>
        <v/>
      </c>
      <c r="J49" s="299"/>
    </row>
    <row r="50" spans="1:10" x14ac:dyDescent="0.35">
      <c r="A50" s="299"/>
      <c r="B50" s="65" t="s">
        <v>377</v>
      </c>
      <c r="C50" s="4"/>
      <c r="D50" s="94"/>
      <c r="E50" s="66"/>
      <c r="F50" s="476" t="str">
        <f>IFERROR(1-('2) Ingresos'!$G50/'2) Ingresos'!$H50),"")</f>
        <v/>
      </c>
      <c r="G50" s="66"/>
      <c r="H50" s="66"/>
      <c r="I50" s="472" t="str">
        <f>IF('2) Ingresos'!$D50*'2) Ingresos'!$E50=0,"",'2) Ingresos'!$D50*'2) Ingresos'!$E50)</f>
        <v/>
      </c>
      <c r="J50" s="299"/>
    </row>
    <row r="51" spans="1:10" x14ac:dyDescent="0.35">
      <c r="A51" s="299"/>
      <c r="B51" s="65" t="s">
        <v>377</v>
      </c>
      <c r="C51" s="4"/>
      <c r="D51" s="94"/>
      <c r="E51" s="66"/>
      <c r="F51" s="476" t="str">
        <f>IFERROR(1-('2) Ingresos'!$G51/'2) Ingresos'!$H51),"")</f>
        <v/>
      </c>
      <c r="G51" s="66"/>
      <c r="H51" s="66"/>
      <c r="I51" s="472" t="str">
        <f>IF('2) Ingresos'!$D51*'2) Ingresos'!$E51=0,"",'2) Ingresos'!$D51*'2) Ingresos'!$E51)</f>
        <v/>
      </c>
      <c r="J51" s="299"/>
    </row>
    <row r="52" spans="1:10" x14ac:dyDescent="0.35">
      <c r="A52" s="299"/>
      <c r="B52" s="65" t="s">
        <v>377</v>
      </c>
      <c r="C52" s="4"/>
      <c r="D52" s="94"/>
      <c r="E52" s="66"/>
      <c r="F52" s="476" t="str">
        <f>IFERROR(1-('2) Ingresos'!$G52/'2) Ingresos'!$H52),"")</f>
        <v/>
      </c>
      <c r="G52" s="66"/>
      <c r="H52" s="66"/>
      <c r="I52" s="472" t="str">
        <f>IF('2) Ingresos'!$D52*'2) Ingresos'!$E52=0,"",'2) Ingresos'!$D52*'2) Ingresos'!$E52)</f>
        <v/>
      </c>
      <c r="J52" s="299"/>
    </row>
    <row r="53" spans="1:10" x14ac:dyDescent="0.35">
      <c r="A53" s="299"/>
      <c r="B53" s="65" t="s">
        <v>377</v>
      </c>
      <c r="C53" s="4"/>
      <c r="D53" s="94"/>
      <c r="E53" s="66"/>
      <c r="F53" s="476" t="str">
        <f>IFERROR(1-('2) Ingresos'!$G54/'2) Ingresos'!$H54),"")</f>
        <v/>
      </c>
      <c r="G53" s="66"/>
      <c r="H53" s="99"/>
      <c r="I53" s="472" t="str">
        <f>IF('2) Ingresos'!$D54*'2) Ingresos'!$E54=0,"",'2) Ingresos'!$D54*'2) Ingresos'!$E54)</f>
        <v/>
      </c>
      <c r="J53" s="299"/>
    </row>
    <row r="54" spans="1:10" x14ac:dyDescent="0.35">
      <c r="A54" s="299"/>
      <c r="B54" s="65" t="s">
        <v>377</v>
      </c>
      <c r="C54" s="4"/>
      <c r="D54" s="94"/>
      <c r="E54" s="66"/>
      <c r="F54" s="476" t="str">
        <f>IFERROR(1-('2) Ingresos'!$G54/'2) Ingresos'!$H54),"")</f>
        <v/>
      </c>
      <c r="G54" s="66"/>
      <c r="H54" s="66"/>
      <c r="I54" s="472" t="str">
        <f>IF('2) Ingresos'!$D54*'2) Ingresos'!$E54=0,"",'2) Ingresos'!$D54*'2) Ingresos'!$E54)</f>
        <v/>
      </c>
      <c r="J54" s="299"/>
    </row>
    <row r="55" spans="1:10" x14ac:dyDescent="0.35">
      <c r="A55" s="299"/>
      <c r="B55" s="65" t="s">
        <v>377</v>
      </c>
      <c r="C55" s="4"/>
      <c r="D55" s="94"/>
      <c r="E55" s="66"/>
      <c r="F55" s="476" t="str">
        <f>IFERROR(1-('2) Ingresos'!$G55/'2) Ingresos'!$H55),"")</f>
        <v/>
      </c>
      <c r="G55" s="66"/>
      <c r="H55" s="66"/>
      <c r="I55" s="472" t="str">
        <f>IF('2) Ingresos'!$D55*'2) Ingresos'!$E55=0,"",'2) Ingresos'!$D55*'2) Ingresos'!$E55)</f>
        <v/>
      </c>
      <c r="J55" s="299"/>
    </row>
    <row r="56" spans="1:10" x14ac:dyDescent="0.35">
      <c r="A56" s="299"/>
      <c r="B56" s="65" t="s">
        <v>377</v>
      </c>
      <c r="C56" s="4"/>
      <c r="D56" s="94"/>
      <c r="E56" s="66"/>
      <c r="F56" s="476" t="str">
        <f>IFERROR(1-('2) Ingresos'!$G56/'2) Ingresos'!$H56),"")</f>
        <v/>
      </c>
      <c r="G56" s="66"/>
      <c r="H56" s="66"/>
      <c r="I56" s="472" t="str">
        <f>IF('2) Ingresos'!$D56*'2) Ingresos'!$E56=0,"",'2) Ingresos'!$D56*'2) Ingresos'!$E56)</f>
        <v/>
      </c>
      <c r="J56" s="299"/>
    </row>
    <row r="57" spans="1:10" x14ac:dyDescent="0.35">
      <c r="A57" s="299"/>
      <c r="B57" s="65" t="s">
        <v>377</v>
      </c>
      <c r="C57" s="4"/>
      <c r="D57" s="94"/>
      <c r="E57" s="66"/>
      <c r="F57" s="476" t="str">
        <f>IFERROR(1-('2) Ingresos'!$G57/'2) Ingresos'!$H57),"")</f>
        <v/>
      </c>
      <c r="G57" s="66"/>
      <c r="H57" s="66"/>
      <c r="I57" s="472" t="str">
        <f>IF('2) Ingresos'!$D57*'2) Ingresos'!$E57=0,"",'2) Ingresos'!$D57*'2) Ingresos'!$E57)</f>
        <v/>
      </c>
      <c r="J57" s="299"/>
    </row>
    <row r="58" spans="1:10" x14ac:dyDescent="0.35">
      <c r="A58" s="299"/>
      <c r="B58" s="65" t="s">
        <v>377</v>
      </c>
      <c r="C58" s="4"/>
      <c r="D58" s="94"/>
      <c r="E58" s="66"/>
      <c r="F58" s="476" t="str">
        <f>IFERROR(1-('2) Ingresos'!$G58/'2) Ingresos'!$H58),"")</f>
        <v/>
      </c>
      <c r="G58" s="66"/>
      <c r="H58" s="66"/>
      <c r="I58" s="472" t="str">
        <f>IF('2) Ingresos'!$D58*'2) Ingresos'!$E58=0,"",'2) Ingresos'!$D58*'2) Ingresos'!$E58)</f>
        <v/>
      </c>
      <c r="J58" s="299"/>
    </row>
    <row r="59" spans="1:10" x14ac:dyDescent="0.35">
      <c r="A59" s="299"/>
      <c r="B59" s="65" t="s">
        <v>377</v>
      </c>
      <c r="C59" s="4"/>
      <c r="D59" s="94"/>
      <c r="E59" s="66"/>
      <c r="F59" s="476" t="str">
        <f>IFERROR(1-('2) Ingresos'!$G59/'2) Ingresos'!$H59),"")</f>
        <v/>
      </c>
      <c r="G59" s="66"/>
      <c r="H59" s="66"/>
      <c r="I59" s="472" t="str">
        <f>IF('2) Ingresos'!$D59*'2) Ingresos'!$E59=0,"",'2) Ingresos'!$D59*'2) Ingresos'!$E59)</f>
        <v/>
      </c>
      <c r="J59" s="299"/>
    </row>
    <row r="60" spans="1:10" x14ac:dyDescent="0.35">
      <c r="A60" s="299"/>
      <c r="B60" s="65" t="s">
        <v>377</v>
      </c>
      <c r="C60" s="4"/>
      <c r="D60" s="94"/>
      <c r="E60" s="66"/>
      <c r="F60" s="476" t="str">
        <f>IFERROR(1-('2) Ingresos'!$G60/'2) Ingresos'!$H60),"")</f>
        <v/>
      </c>
      <c r="G60" s="66"/>
      <c r="H60" s="66"/>
      <c r="I60" s="472" t="str">
        <f>IF('2) Ingresos'!$D60*'2) Ingresos'!$E60=0,"",'2) Ingresos'!$D60*'2) Ingresos'!$E60)</f>
        <v/>
      </c>
      <c r="J60" s="299"/>
    </row>
    <row r="61" spans="1:10" x14ac:dyDescent="0.35">
      <c r="A61" s="299"/>
      <c r="B61" s="65" t="s">
        <v>377</v>
      </c>
      <c r="C61" s="4"/>
      <c r="D61" s="94"/>
      <c r="E61" s="66"/>
      <c r="F61" s="476" t="str">
        <f>IFERROR(1-('2) Ingresos'!$G61/'2) Ingresos'!$H61),"")</f>
        <v/>
      </c>
      <c r="G61" s="66"/>
      <c r="H61" s="66"/>
      <c r="I61" s="472" t="str">
        <f>IF('2) Ingresos'!$D61*'2) Ingresos'!$E61=0,"",'2) Ingresos'!$D61*'2) Ingresos'!$E61)</f>
        <v/>
      </c>
      <c r="J61" s="299"/>
    </row>
    <row r="62" spans="1:10" x14ac:dyDescent="0.35">
      <c r="A62" s="299"/>
      <c r="B62" s="65" t="s">
        <v>377</v>
      </c>
      <c r="C62" s="4"/>
      <c r="D62" s="94"/>
      <c r="E62" s="66"/>
      <c r="F62" s="476" t="str">
        <f>IFERROR(1-('2) Ingresos'!$G62/'2) Ingresos'!$H62),"")</f>
        <v/>
      </c>
      <c r="G62" s="66"/>
      <c r="H62" s="66"/>
      <c r="I62" s="472" t="str">
        <f>IF('2) Ingresos'!$D62*'2) Ingresos'!$E62=0,"",'2) Ingresos'!$D62*'2) Ingresos'!$E62)</f>
        <v/>
      </c>
      <c r="J62" s="299"/>
    </row>
    <row r="63" spans="1:10" x14ac:dyDescent="0.35">
      <c r="A63" s="299"/>
      <c r="B63" s="65" t="s">
        <v>377</v>
      </c>
      <c r="C63" s="4"/>
      <c r="D63" s="94"/>
      <c r="E63" s="66"/>
      <c r="F63" s="476" t="str">
        <f>IFERROR(1-('2) Ingresos'!$G63/'2) Ingresos'!$H63),"")</f>
        <v/>
      </c>
      <c r="G63" s="66"/>
      <c r="H63" s="66"/>
      <c r="I63" s="472" t="str">
        <f>IF('2) Ingresos'!$D63*'2) Ingresos'!$E63=0,"",'2) Ingresos'!$D63*'2) Ingresos'!$E63)</f>
        <v/>
      </c>
      <c r="J63" s="299"/>
    </row>
    <row r="64" spans="1:10" x14ac:dyDescent="0.35">
      <c r="A64" s="299"/>
      <c r="B64" s="65" t="s">
        <v>377</v>
      </c>
      <c r="C64" s="4"/>
      <c r="D64" s="94"/>
      <c r="E64" s="66"/>
      <c r="F64" s="476" t="str">
        <f>IFERROR(1-('2) Ingresos'!$G64/'2) Ingresos'!$H64),"")</f>
        <v/>
      </c>
      <c r="G64" s="66"/>
      <c r="H64" s="66"/>
      <c r="I64" s="472" t="str">
        <f>IF('2) Ingresos'!$D64*'2) Ingresos'!$E64=0,"",'2) Ingresos'!$D64*'2) Ingresos'!$E64)</f>
        <v/>
      </c>
      <c r="J64" s="299"/>
    </row>
    <row r="65" spans="1:10" x14ac:dyDescent="0.35">
      <c r="A65" s="299"/>
      <c r="B65" s="65" t="s">
        <v>377</v>
      </c>
      <c r="C65" s="4"/>
      <c r="D65" s="94"/>
      <c r="E65" s="66"/>
      <c r="F65" s="476" t="str">
        <f>IFERROR(1-('2) Ingresos'!$G65/'2) Ingresos'!$H65),"")</f>
        <v/>
      </c>
      <c r="G65" s="66"/>
      <c r="H65" s="66"/>
      <c r="I65" s="472" t="str">
        <f>IF('2) Ingresos'!$D65*'2) Ingresos'!$E65=0,"",'2) Ingresos'!$D65*'2) Ingresos'!$E65)</f>
        <v/>
      </c>
      <c r="J65" s="299"/>
    </row>
    <row r="66" spans="1:10" x14ac:dyDescent="0.35">
      <c r="A66" s="299"/>
      <c r="B66" s="65" t="s">
        <v>377</v>
      </c>
      <c r="C66" s="4"/>
      <c r="D66" s="94"/>
      <c r="E66" s="66"/>
      <c r="F66" s="476" t="str">
        <f>IFERROR(1-('2) Ingresos'!$G66/'2) Ingresos'!$H66),"")</f>
        <v/>
      </c>
      <c r="G66" s="66"/>
      <c r="H66" s="66"/>
      <c r="I66" s="472" t="str">
        <f>IF('2) Ingresos'!$D66*'2) Ingresos'!$E66=0,"",'2) Ingresos'!$D66*'2) Ingresos'!$E66)</f>
        <v/>
      </c>
      <c r="J66" s="299"/>
    </row>
    <row r="67" spans="1:10" x14ac:dyDescent="0.35">
      <c r="A67" s="299"/>
      <c r="B67" s="65" t="s">
        <v>377</v>
      </c>
      <c r="C67" s="4"/>
      <c r="D67" s="94"/>
      <c r="E67" s="66"/>
      <c r="F67" s="476" t="str">
        <f>IFERROR(1-('2) Ingresos'!$G67/'2) Ingresos'!$H67),"")</f>
        <v/>
      </c>
      <c r="G67" s="66"/>
      <c r="H67" s="66"/>
      <c r="I67" s="472" t="str">
        <f>IF('2) Ingresos'!$D67*'2) Ingresos'!$E67=0,"",'2) Ingresos'!$D67*'2) Ingresos'!$E67)</f>
        <v/>
      </c>
      <c r="J67" s="299"/>
    </row>
    <row r="68" spans="1:10" x14ac:dyDescent="0.35">
      <c r="A68" s="299"/>
      <c r="B68" s="65" t="s">
        <v>377</v>
      </c>
      <c r="C68" s="4"/>
      <c r="D68" s="94"/>
      <c r="E68" s="66"/>
      <c r="F68" s="476" t="str">
        <f>IFERROR(1-('2) Ingresos'!$G68/'2) Ingresos'!$H68),"")</f>
        <v/>
      </c>
      <c r="G68" s="66"/>
      <c r="H68" s="66"/>
      <c r="I68" s="472" t="str">
        <f>IF('2) Ingresos'!$D68*'2) Ingresos'!$E68=0,"",'2) Ingresos'!$D68*'2) Ingresos'!$E68)</f>
        <v/>
      </c>
      <c r="J68" s="299"/>
    </row>
    <row r="69" spans="1:10" x14ac:dyDescent="0.35">
      <c r="A69" s="299"/>
      <c r="B69" s="65" t="s">
        <v>377</v>
      </c>
      <c r="C69" s="4"/>
      <c r="D69" s="94"/>
      <c r="E69" s="66"/>
      <c r="F69" s="476" t="str">
        <f>IFERROR(1-('2) Ingresos'!$G69/'2) Ingresos'!$H69),"")</f>
        <v/>
      </c>
      <c r="G69" s="66"/>
      <c r="H69" s="99"/>
      <c r="I69" s="472" t="str">
        <f>IF('2) Ingresos'!$D69*'2) Ingresos'!$E69=0,"",'2) Ingresos'!$D69*'2) Ingresos'!$E69)</f>
        <v/>
      </c>
      <c r="J69" s="299"/>
    </row>
    <row r="70" spans="1:10" x14ac:dyDescent="0.35">
      <c r="A70" s="299"/>
      <c r="B70" s="65" t="s">
        <v>377</v>
      </c>
      <c r="C70" s="4"/>
      <c r="D70" s="94"/>
      <c r="E70" s="66"/>
      <c r="F70" s="476" t="str">
        <f>IFERROR(1-('2) Ingresos'!$G70/'2) Ingresos'!$H70),"")</f>
        <v/>
      </c>
      <c r="G70" s="66"/>
      <c r="H70" s="99"/>
      <c r="I70" s="472" t="str">
        <f>IF('2) Ingresos'!$D70*'2) Ingresos'!$E70=0,"",'2) Ingresos'!$D70*'2) Ingresos'!$E70)</f>
        <v/>
      </c>
      <c r="J70" s="299"/>
    </row>
    <row r="71" spans="1:10" x14ac:dyDescent="0.35">
      <c r="A71" s="299"/>
      <c r="B71" s="65" t="s">
        <v>377</v>
      </c>
      <c r="C71" s="4"/>
      <c r="D71" s="94"/>
      <c r="E71" s="66"/>
      <c r="F71" s="476" t="str">
        <f>IFERROR(1-('2) Ingresos'!$G71/'2) Ingresos'!$H71),"")</f>
        <v/>
      </c>
      <c r="G71" s="66"/>
      <c r="H71" s="99"/>
      <c r="I71" s="472" t="str">
        <f>IF('2) Ingresos'!$D71*'2) Ingresos'!$E71=0,"",'2) Ingresos'!$D71*'2) Ingresos'!$E71)</f>
        <v/>
      </c>
      <c r="J71" s="299"/>
    </row>
    <row r="72" spans="1:10" x14ac:dyDescent="0.35">
      <c r="A72" s="299"/>
      <c r="B72" s="65" t="s">
        <v>377</v>
      </c>
      <c r="C72" s="4"/>
      <c r="D72" s="94"/>
      <c r="E72" s="66"/>
      <c r="F72" s="476" t="str">
        <f>IFERROR(1-('2) Ingresos'!$G72/'2) Ingresos'!$H72),"")</f>
        <v/>
      </c>
      <c r="G72" s="66"/>
      <c r="H72" s="99"/>
      <c r="I72" s="472" t="str">
        <f>IF('2) Ingresos'!$D72*'2) Ingresos'!$E72=0,"",'2) Ingresos'!$D72*'2) Ingresos'!$E72)</f>
        <v/>
      </c>
      <c r="J72" s="299"/>
    </row>
    <row r="73" spans="1:10" ht="15" thickBot="1" x14ac:dyDescent="0.4">
      <c r="A73" s="299"/>
      <c r="B73" s="98" t="s">
        <v>377</v>
      </c>
      <c r="C73" s="6"/>
      <c r="D73" s="61"/>
      <c r="E73" s="67"/>
      <c r="F73" s="476" t="str">
        <f>IFERROR(1-('2) Ingresos'!$G73/'2) Ingresos'!$H73),"")</f>
        <v/>
      </c>
      <c r="G73" s="67"/>
      <c r="H73" s="100"/>
      <c r="I73" s="472" t="str">
        <f>IF('2) Ingresos'!$D73*'2) Ingresos'!$E73=0,"",'2) Ingresos'!$D73*'2) Ingresos'!$E73)</f>
        <v/>
      </c>
      <c r="J73" s="299"/>
    </row>
    <row r="74" spans="1:10" ht="21.5" thickBot="1" x14ac:dyDescent="0.4">
      <c r="A74" s="299"/>
      <c r="B74" s="920" t="str">
        <f>Language!A63</f>
        <v>Ingresos por convenios</v>
      </c>
      <c r="C74" s="921"/>
      <c r="D74" s="921"/>
      <c r="E74" s="921"/>
      <c r="F74" s="921"/>
      <c r="G74" s="921"/>
      <c r="H74" s="921"/>
      <c r="I74" s="922"/>
      <c r="J74" s="299"/>
    </row>
    <row r="75" spans="1:10" ht="29" x14ac:dyDescent="0.35">
      <c r="A75" s="299"/>
      <c r="B75" s="467" t="str">
        <f>Language!A54</f>
        <v>Descripción</v>
      </c>
      <c r="C75" s="474" t="str">
        <f>Language!A55</f>
        <v>Año</v>
      </c>
      <c r="D75" s="468" t="str">
        <f>Language!A56</f>
        <v>Unidades</v>
      </c>
      <c r="E75" s="469" t="str">
        <f>Language!A57</f>
        <v>Monto facturado por unidad [$$$/año]</v>
      </c>
      <c r="F75" s="468" t="str">
        <f>Language!A58</f>
        <v>Morosidad [%]</v>
      </c>
      <c r="G75" s="468" t="str">
        <f>Language!A59</f>
        <v>Monto total recibido por año [$$$/año]</v>
      </c>
      <c r="H75" s="468" t="str">
        <f>Language!A60</f>
        <v>Monto total facturado [$$$/año]</v>
      </c>
      <c r="I75" s="475" t="str">
        <f>Language!A61</f>
        <v>Monto total facturado calculado [$$$/año]
para control cruzado</v>
      </c>
      <c r="J75" s="299"/>
    </row>
    <row r="76" spans="1:10" x14ac:dyDescent="0.35">
      <c r="A76" s="299"/>
      <c r="B76" s="65" t="s">
        <v>766</v>
      </c>
      <c r="C76" s="4">
        <v>2019</v>
      </c>
      <c r="D76" s="94">
        <v>0</v>
      </c>
      <c r="E76" s="66">
        <v>0</v>
      </c>
      <c r="F76" s="476" t="str">
        <f>IFERROR(1-('2) Ingresos'!$G76/'2) Ingresos'!$H76),"")</f>
        <v/>
      </c>
      <c r="G76" s="66">
        <v>0</v>
      </c>
      <c r="H76" s="99">
        <v>0</v>
      </c>
      <c r="I76" s="472" t="str">
        <f>IF('2) Ingresos'!$D76*'2) Ingresos'!$E76=0,"",'2) Ingresos'!$D76*'2) Ingresos'!$E76)</f>
        <v/>
      </c>
      <c r="J76" s="299"/>
    </row>
    <row r="77" spans="1:10" x14ac:dyDescent="0.35">
      <c r="A77" s="299"/>
      <c r="B77" s="65" t="s">
        <v>767</v>
      </c>
      <c r="C77" s="4">
        <v>2019</v>
      </c>
      <c r="D77" s="94">
        <v>0</v>
      </c>
      <c r="E77" s="66">
        <v>0</v>
      </c>
      <c r="F77" s="476" t="str">
        <f>IFERROR(1-('2) Ingresos'!$G77/'2) Ingresos'!$H77),"")</f>
        <v/>
      </c>
      <c r="G77" s="66">
        <v>0</v>
      </c>
      <c r="H77" s="99">
        <v>0</v>
      </c>
      <c r="I77" s="472" t="str">
        <f>IF('2) Ingresos'!$D77*'2) Ingresos'!$E77=0,"",'2) Ingresos'!$D77*'2) Ingresos'!$E77)</f>
        <v/>
      </c>
      <c r="J77" s="299"/>
    </row>
    <row r="78" spans="1:10" x14ac:dyDescent="0.35">
      <c r="A78" s="299"/>
      <c r="B78" s="65" t="s">
        <v>768</v>
      </c>
      <c r="C78" s="4"/>
      <c r="D78" s="94"/>
      <c r="E78" s="66"/>
      <c r="F78" s="476" t="str">
        <f>IFERROR(1-('2) Ingresos'!$G78/'2) Ingresos'!$H78),"")</f>
        <v/>
      </c>
      <c r="G78" s="66"/>
      <c r="H78" s="99"/>
      <c r="I78" s="472" t="str">
        <f>IF('2) Ingresos'!$D78*'2) Ingresos'!$E78=0,"",'2) Ingresos'!$D78*'2) Ingresos'!$E78)</f>
        <v/>
      </c>
      <c r="J78" s="299"/>
    </row>
    <row r="79" spans="1:10" x14ac:dyDescent="0.35">
      <c r="A79" s="299"/>
      <c r="B79" s="65" t="s">
        <v>769</v>
      </c>
      <c r="C79" s="4"/>
      <c r="D79" s="94"/>
      <c r="E79" s="66"/>
      <c r="F79" s="476" t="str">
        <f>IFERROR(1-('2) Ingresos'!$G79/'2) Ingresos'!$H79),"")</f>
        <v/>
      </c>
      <c r="G79" s="66"/>
      <c r="H79" s="66"/>
      <c r="I79" s="472" t="str">
        <f>IF('2) Ingresos'!$D79*'2) Ingresos'!$E79=0,"",'2) Ingresos'!$D79*'2) Ingresos'!$E79)</f>
        <v/>
      </c>
      <c r="J79" s="299"/>
    </row>
    <row r="80" spans="1:10" x14ac:dyDescent="0.35">
      <c r="A80" s="299"/>
      <c r="B80" s="65" t="s">
        <v>377</v>
      </c>
      <c r="C80" s="4"/>
      <c r="D80" s="94"/>
      <c r="E80" s="66"/>
      <c r="F80" s="476" t="str">
        <f>IFERROR(1-('2) Ingresos'!$G80/'2) Ingresos'!$H80),"")</f>
        <v/>
      </c>
      <c r="G80" s="66"/>
      <c r="H80" s="66"/>
      <c r="I80" s="472" t="str">
        <f>IF('2) Ingresos'!$D80*'2) Ingresos'!$E80=0,"",'2) Ingresos'!$D80*'2) Ingresos'!$E80)</f>
        <v/>
      </c>
      <c r="J80" s="299"/>
    </row>
    <row r="81" spans="1:10" x14ac:dyDescent="0.35">
      <c r="A81" s="299"/>
      <c r="B81" s="65" t="s">
        <v>377</v>
      </c>
      <c r="C81" s="4"/>
      <c r="D81" s="94"/>
      <c r="E81" s="66"/>
      <c r="F81" s="476" t="str">
        <f>IFERROR(1-('2) Ingresos'!$G81/'2) Ingresos'!$H81),"")</f>
        <v/>
      </c>
      <c r="G81" s="66"/>
      <c r="H81" s="66"/>
      <c r="I81" s="472" t="str">
        <f>IF('2) Ingresos'!$D81*'2) Ingresos'!$E81=0,"",'2) Ingresos'!$D81*'2) Ingresos'!$E81)</f>
        <v/>
      </c>
      <c r="J81" s="299"/>
    </row>
    <row r="82" spans="1:10" x14ac:dyDescent="0.35">
      <c r="A82" s="299"/>
      <c r="B82" s="65" t="s">
        <v>377</v>
      </c>
      <c r="C82" s="4"/>
      <c r="D82" s="94"/>
      <c r="E82" s="66"/>
      <c r="F82" s="476" t="str">
        <f>IFERROR(1-('2) Ingresos'!$G82/'2) Ingresos'!$H82),"")</f>
        <v/>
      </c>
      <c r="G82" s="66"/>
      <c r="H82" s="66"/>
      <c r="I82" s="472" t="str">
        <f>IF('2) Ingresos'!$D82*'2) Ingresos'!$E82=0,"",'2) Ingresos'!$D82*'2) Ingresos'!$E82)</f>
        <v/>
      </c>
      <c r="J82" s="299"/>
    </row>
    <row r="83" spans="1:10" x14ac:dyDescent="0.35">
      <c r="A83" s="299"/>
      <c r="B83" s="65" t="s">
        <v>377</v>
      </c>
      <c r="C83" s="4"/>
      <c r="D83" s="94"/>
      <c r="E83" s="66"/>
      <c r="F83" s="476" t="str">
        <f>IFERROR(1-('2) Ingresos'!$G83/'2) Ingresos'!$H83),"")</f>
        <v/>
      </c>
      <c r="G83" s="66"/>
      <c r="H83" s="66"/>
      <c r="I83" s="472" t="str">
        <f>IF('2) Ingresos'!$D83*'2) Ingresos'!$E83=0,"",'2) Ingresos'!$D83*'2) Ingresos'!$E83)</f>
        <v/>
      </c>
      <c r="J83" s="299"/>
    </row>
    <row r="84" spans="1:10" x14ac:dyDescent="0.35">
      <c r="A84" s="299"/>
      <c r="B84" s="65" t="s">
        <v>377</v>
      </c>
      <c r="C84" s="4"/>
      <c r="D84" s="94"/>
      <c r="E84" s="66"/>
      <c r="F84" s="476" t="str">
        <f>IFERROR(1-('2) Ingresos'!$G84/'2) Ingresos'!$H84),"")</f>
        <v/>
      </c>
      <c r="G84" s="66"/>
      <c r="H84" s="66"/>
      <c r="I84" s="472" t="str">
        <f>IF('2) Ingresos'!$D84*'2) Ingresos'!$E84=0,"",'2) Ingresos'!$D84*'2) Ingresos'!$E84)</f>
        <v/>
      </c>
      <c r="J84" s="299"/>
    </row>
    <row r="85" spans="1:10" x14ac:dyDescent="0.35">
      <c r="A85" s="299"/>
      <c r="B85" s="65" t="s">
        <v>377</v>
      </c>
      <c r="C85" s="4"/>
      <c r="D85" s="94"/>
      <c r="E85" s="66"/>
      <c r="F85" s="476" t="str">
        <f>IFERROR(1-('2) Ingresos'!$G85/'2) Ingresos'!$H85),"")</f>
        <v/>
      </c>
      <c r="G85" s="66"/>
      <c r="H85" s="66"/>
      <c r="I85" s="472" t="str">
        <f>IF('2) Ingresos'!$D85*'2) Ingresos'!$E85=0,"",'2) Ingresos'!$D85*'2) Ingresos'!$E85)</f>
        <v/>
      </c>
      <c r="J85" s="299"/>
    </row>
    <row r="86" spans="1:10" x14ac:dyDescent="0.35">
      <c r="A86" s="299"/>
      <c r="B86" s="65" t="s">
        <v>377</v>
      </c>
      <c r="C86" s="4"/>
      <c r="D86" s="94"/>
      <c r="E86" s="66"/>
      <c r="F86" s="476" t="str">
        <f>IFERROR(1-('2) Ingresos'!$G86/'2) Ingresos'!$H86),"")</f>
        <v/>
      </c>
      <c r="G86" s="66"/>
      <c r="H86" s="66"/>
      <c r="I86" s="472" t="str">
        <f>IF('2) Ingresos'!$D86*'2) Ingresos'!$E86=0,"",'2) Ingresos'!$D86*'2) Ingresos'!$E86)</f>
        <v/>
      </c>
      <c r="J86" s="299"/>
    </row>
    <row r="87" spans="1:10" x14ac:dyDescent="0.35">
      <c r="A87" s="299"/>
      <c r="B87" s="65" t="s">
        <v>377</v>
      </c>
      <c r="C87" s="4"/>
      <c r="D87" s="94"/>
      <c r="E87" s="66"/>
      <c r="F87" s="476" t="str">
        <f>IFERROR(1-('2) Ingresos'!$G87/'2) Ingresos'!$H87),"")</f>
        <v/>
      </c>
      <c r="G87" s="66"/>
      <c r="H87" s="66"/>
      <c r="I87" s="472" t="str">
        <f>IF('2) Ingresos'!$D87*'2) Ingresos'!$E87=0,"",'2) Ingresos'!$D87*'2) Ingresos'!$E87)</f>
        <v/>
      </c>
      <c r="J87" s="299"/>
    </row>
    <row r="88" spans="1:10" x14ac:dyDescent="0.35">
      <c r="A88" s="299"/>
      <c r="B88" s="65" t="s">
        <v>377</v>
      </c>
      <c r="C88" s="4"/>
      <c r="D88" s="94"/>
      <c r="E88" s="66"/>
      <c r="F88" s="476" t="str">
        <f>IFERROR(1-('2) Ingresos'!$G88/'2) Ingresos'!$H88),"")</f>
        <v/>
      </c>
      <c r="G88" s="66"/>
      <c r="H88" s="99"/>
      <c r="I88" s="472" t="str">
        <f>IF('2) Ingresos'!$D88*'2) Ingresos'!$E88=0,"",'2) Ingresos'!$D88*'2) Ingresos'!$E88)</f>
        <v/>
      </c>
      <c r="J88" s="299"/>
    </row>
    <row r="89" spans="1:10" x14ac:dyDescent="0.35">
      <c r="A89" s="299"/>
      <c r="B89" s="65" t="s">
        <v>377</v>
      </c>
      <c r="C89" s="4"/>
      <c r="D89" s="94"/>
      <c r="E89" s="66"/>
      <c r="F89" s="476" t="str">
        <f>IFERROR(1-('2) Ingresos'!$G89/'2) Ingresos'!$H89),"")</f>
        <v/>
      </c>
      <c r="G89" s="66"/>
      <c r="H89" s="99"/>
      <c r="I89" s="472" t="str">
        <f>IF('2) Ingresos'!$D89*'2) Ingresos'!$E89=0,"",'2) Ingresos'!$D89*'2) Ingresos'!$E89)</f>
        <v/>
      </c>
      <c r="J89" s="299"/>
    </row>
    <row r="90" spans="1:10" x14ac:dyDescent="0.35">
      <c r="A90" s="299"/>
      <c r="B90" s="65" t="s">
        <v>377</v>
      </c>
      <c r="C90" s="4"/>
      <c r="D90" s="94"/>
      <c r="E90" s="66"/>
      <c r="F90" s="476" t="str">
        <f>IFERROR(1-('2) Ingresos'!$G90/'2) Ingresos'!$H90),"")</f>
        <v/>
      </c>
      <c r="G90" s="66"/>
      <c r="H90" s="99"/>
      <c r="I90" s="472" t="str">
        <f>IF('2) Ingresos'!$D90*'2) Ingresos'!$E90=0,"",'2) Ingresos'!$D90*'2) Ingresos'!$E90)</f>
        <v/>
      </c>
      <c r="J90" s="299"/>
    </row>
    <row r="91" spans="1:10" x14ac:dyDescent="0.35">
      <c r="A91" s="299"/>
      <c r="B91" s="65" t="s">
        <v>377</v>
      </c>
      <c r="C91" s="4"/>
      <c r="D91" s="94"/>
      <c r="E91" s="66"/>
      <c r="F91" s="476" t="str">
        <f>IFERROR(1-('2) Ingresos'!$G91/'2) Ingresos'!$H91),"")</f>
        <v/>
      </c>
      <c r="G91" s="66"/>
      <c r="H91" s="99"/>
      <c r="I91" s="472" t="str">
        <f>IF('2) Ingresos'!$D91*'2) Ingresos'!$E91=0,"",'2) Ingresos'!$D91*'2) Ingresos'!$E91)</f>
        <v/>
      </c>
      <c r="J91" s="299"/>
    </row>
    <row r="92" spans="1:10" x14ac:dyDescent="0.35">
      <c r="A92" s="299"/>
      <c r="B92" s="65" t="s">
        <v>377</v>
      </c>
      <c r="C92" s="4"/>
      <c r="D92" s="94"/>
      <c r="E92" s="66"/>
      <c r="F92" s="476" t="str">
        <f>IFERROR(1-('2) Ingresos'!$G92/'2) Ingresos'!$H92),"")</f>
        <v/>
      </c>
      <c r="G92" s="66"/>
      <c r="H92" s="99"/>
      <c r="I92" s="472" t="str">
        <f>IF('2) Ingresos'!$D92*'2) Ingresos'!$E92=0,"",'2) Ingresos'!$D92*'2) Ingresos'!$E92)</f>
        <v/>
      </c>
      <c r="J92" s="299"/>
    </row>
    <row r="93" spans="1:10" ht="15" thickBot="1" x14ac:dyDescent="0.4">
      <c r="A93" s="299"/>
      <c r="B93" s="98" t="s">
        <v>377</v>
      </c>
      <c r="C93" s="6"/>
      <c r="D93" s="61"/>
      <c r="E93" s="67"/>
      <c r="F93" s="476" t="str">
        <f>IFERROR(1-('2) Ingresos'!$G93/'2) Ingresos'!$H93),"")</f>
        <v/>
      </c>
      <c r="G93" s="67"/>
      <c r="H93" s="100"/>
      <c r="I93" s="472" t="str">
        <f>IF('2) Ingresos'!$D93*'2) Ingresos'!$E93=0,"",'2) Ingresos'!$D93*'2) Ingresos'!$E93)</f>
        <v/>
      </c>
      <c r="J93" s="299"/>
    </row>
    <row r="94" spans="1:10" ht="21.5" thickBot="1" x14ac:dyDescent="0.4">
      <c r="A94" s="299"/>
      <c r="B94" s="920" t="str">
        <f>Language!A64</f>
        <v>Otros ingresos</v>
      </c>
      <c r="C94" s="921"/>
      <c r="D94" s="921"/>
      <c r="E94" s="921"/>
      <c r="F94" s="921"/>
      <c r="G94" s="921"/>
      <c r="H94" s="921"/>
      <c r="I94" s="922"/>
      <c r="J94" s="299"/>
    </row>
    <row r="95" spans="1:10" ht="29" x14ac:dyDescent="0.35">
      <c r="A95" s="299"/>
      <c r="B95" s="467" t="str">
        <f>Language!A54</f>
        <v>Descripción</v>
      </c>
      <c r="C95" s="474" t="str">
        <f>Language!A55</f>
        <v>Año</v>
      </c>
      <c r="D95" s="468" t="str">
        <f>Language!A56</f>
        <v>Unidades</v>
      </c>
      <c r="E95" s="469" t="str">
        <f>Language!A57</f>
        <v>Monto facturado por unidad [$$$/año]</v>
      </c>
      <c r="F95" s="468" t="str">
        <f>Language!A58</f>
        <v>Morosidad [%]</v>
      </c>
      <c r="G95" s="468" t="str">
        <f>Language!A59</f>
        <v>Monto total recibido por año [$$$/año]</v>
      </c>
      <c r="H95" s="468" t="str">
        <f>Language!A60</f>
        <v>Monto total facturado [$$$/año]</v>
      </c>
      <c r="I95" s="475" t="str">
        <f>Language!A61</f>
        <v>Monto total facturado calculado [$$$/año]
para control cruzado</v>
      </c>
      <c r="J95" s="299"/>
    </row>
    <row r="96" spans="1:10" x14ac:dyDescent="0.35">
      <c r="A96" s="299"/>
      <c r="B96" s="65" t="s">
        <v>377</v>
      </c>
      <c r="C96" s="4">
        <v>2019</v>
      </c>
      <c r="D96" s="94">
        <v>0</v>
      </c>
      <c r="E96" s="66">
        <v>0</v>
      </c>
      <c r="F96" s="476" t="str">
        <f>IFERROR(1-('2) Ingresos'!$G96/'2) Ingresos'!$H96),"")</f>
        <v/>
      </c>
      <c r="G96" s="66">
        <v>0</v>
      </c>
      <c r="H96" s="99">
        <v>0</v>
      </c>
      <c r="I96" s="477" t="str">
        <f>IF('2) Ingresos'!$D96*'2) Ingresos'!$E96=0,"",'2) Ingresos'!$D96*'2) Ingresos'!$E96)</f>
        <v/>
      </c>
      <c r="J96" s="299"/>
    </row>
    <row r="97" spans="1:10" x14ac:dyDescent="0.35">
      <c r="A97" s="299"/>
      <c r="B97" s="65" t="s">
        <v>377</v>
      </c>
      <c r="C97" s="4">
        <v>2019</v>
      </c>
      <c r="D97" s="94">
        <v>0</v>
      </c>
      <c r="E97" s="66">
        <v>0</v>
      </c>
      <c r="F97" s="476" t="str">
        <f>IFERROR(1-('2) Ingresos'!$G97/'2) Ingresos'!$H97),"")</f>
        <v/>
      </c>
      <c r="G97" s="66">
        <v>0</v>
      </c>
      <c r="H97" s="99">
        <v>0</v>
      </c>
      <c r="I97" s="472" t="str">
        <f>IF('2) Ingresos'!$D97*'2) Ingresos'!$E97=0,"",'2) Ingresos'!$D97*'2) Ingresos'!$E97)</f>
        <v/>
      </c>
      <c r="J97" s="299"/>
    </row>
    <row r="98" spans="1:10" x14ac:dyDescent="0.35">
      <c r="A98" s="299"/>
      <c r="B98" s="65" t="s">
        <v>377</v>
      </c>
      <c r="C98" s="4">
        <v>2019</v>
      </c>
      <c r="D98" s="94">
        <v>0</v>
      </c>
      <c r="E98" s="66">
        <v>0</v>
      </c>
      <c r="F98" s="476" t="str">
        <f>IFERROR(1-('2) Ingresos'!$G98/'2) Ingresos'!$H98),"")</f>
        <v/>
      </c>
      <c r="G98" s="66">
        <v>0</v>
      </c>
      <c r="H98" s="99">
        <v>0</v>
      </c>
      <c r="I98" s="472" t="str">
        <f>IF('2) Ingresos'!$D98*'2) Ingresos'!$E98=0,"",'2) Ingresos'!$D98*'2) Ingresos'!$E98)</f>
        <v/>
      </c>
      <c r="J98" s="299"/>
    </row>
    <row r="99" spans="1:10" x14ac:dyDescent="0.35">
      <c r="A99" s="299"/>
      <c r="B99" s="65" t="s">
        <v>377</v>
      </c>
      <c r="C99" s="4">
        <v>2019</v>
      </c>
      <c r="D99" s="94">
        <v>0</v>
      </c>
      <c r="E99" s="66">
        <v>0</v>
      </c>
      <c r="F99" s="476" t="str">
        <f>IFERROR(1-('2) Ingresos'!$G99/'2) Ingresos'!$H99),"")</f>
        <v/>
      </c>
      <c r="G99" s="66">
        <v>0</v>
      </c>
      <c r="H99" s="99">
        <v>0</v>
      </c>
      <c r="I99" s="472" t="str">
        <f>IF('2) Ingresos'!$D99*'2) Ingresos'!$E99=0,"",'2) Ingresos'!$D99*'2) Ingresos'!$E99)</f>
        <v/>
      </c>
      <c r="J99" s="299"/>
    </row>
    <row r="100" spans="1:10" x14ac:dyDescent="0.35">
      <c r="A100" s="299"/>
      <c r="B100" s="65" t="s">
        <v>377</v>
      </c>
      <c r="C100" s="4"/>
      <c r="D100" s="94"/>
      <c r="E100" s="66"/>
      <c r="F100" s="476" t="str">
        <f>IFERROR(1-('2) Ingresos'!$G100/'2) Ingresos'!$H100),"")</f>
        <v/>
      </c>
      <c r="G100" s="66"/>
      <c r="H100" s="99"/>
      <c r="I100" s="472" t="str">
        <f>IF('2) Ingresos'!$D100*'2) Ingresos'!$E100=0,"",'2) Ingresos'!$D100*'2) Ingresos'!$E100)</f>
        <v/>
      </c>
      <c r="J100" s="299"/>
    </row>
    <row r="101" spans="1:10" x14ac:dyDescent="0.35">
      <c r="A101" s="299"/>
      <c r="B101" s="65" t="s">
        <v>377</v>
      </c>
      <c r="C101" s="4"/>
      <c r="D101" s="94"/>
      <c r="E101" s="66"/>
      <c r="F101" s="476" t="str">
        <f>IFERROR(1-('2) Ingresos'!$G101/'2) Ingresos'!$H101),"")</f>
        <v/>
      </c>
      <c r="G101" s="66"/>
      <c r="H101" s="99"/>
      <c r="I101" s="472" t="str">
        <f>IF('2) Ingresos'!$D101*'2) Ingresos'!$E101=0,"",'2) Ingresos'!$D101*'2) Ingresos'!$E101)</f>
        <v/>
      </c>
      <c r="J101" s="299"/>
    </row>
    <row r="102" spans="1:10" x14ac:dyDescent="0.35">
      <c r="A102" s="299"/>
      <c r="B102" s="65" t="s">
        <v>377</v>
      </c>
      <c r="C102" s="4"/>
      <c r="D102" s="94"/>
      <c r="E102" s="66"/>
      <c r="F102" s="476" t="str">
        <f>IFERROR(1-('2) Ingresos'!$G102/'2) Ingresos'!$H102),"")</f>
        <v/>
      </c>
      <c r="G102" s="66"/>
      <c r="H102" s="99"/>
      <c r="I102" s="472" t="str">
        <f>IF('2) Ingresos'!$D102*'2) Ingresos'!$E102=0,"",'2) Ingresos'!$D102*'2) Ingresos'!$E102)</f>
        <v/>
      </c>
      <c r="J102" s="299"/>
    </row>
    <row r="103" spans="1:10" x14ac:dyDescent="0.35">
      <c r="A103" s="299"/>
      <c r="B103" s="65" t="s">
        <v>377</v>
      </c>
      <c r="C103" s="4"/>
      <c r="D103" s="94"/>
      <c r="E103" s="66"/>
      <c r="F103" s="476" t="str">
        <f>IFERROR(1-('2) Ingresos'!$G103/'2) Ingresos'!$H103),"")</f>
        <v/>
      </c>
      <c r="G103" s="66"/>
      <c r="H103" s="99"/>
      <c r="I103" s="472" t="str">
        <f>IF('2) Ingresos'!$D103*'2) Ingresos'!$E103=0,"",'2) Ingresos'!$D103*'2) Ingresos'!$E103)</f>
        <v/>
      </c>
      <c r="J103" s="299"/>
    </row>
    <row r="104" spans="1:10" x14ac:dyDescent="0.35">
      <c r="A104" s="299"/>
      <c r="B104" s="65" t="s">
        <v>377</v>
      </c>
      <c r="C104" s="4"/>
      <c r="D104" s="94"/>
      <c r="E104" s="66"/>
      <c r="F104" s="476" t="str">
        <f>IFERROR(1-('2) Ingresos'!$G104/'2) Ingresos'!$H104),"")</f>
        <v/>
      </c>
      <c r="G104" s="66"/>
      <c r="H104" s="99"/>
      <c r="I104" s="472" t="str">
        <f>IF('2) Ingresos'!$D104*'2) Ingresos'!$E104=0,"",'2) Ingresos'!$D104*'2) Ingresos'!$E104)</f>
        <v/>
      </c>
      <c r="J104" s="299"/>
    </row>
    <row r="105" spans="1:10" x14ac:dyDescent="0.35">
      <c r="A105" s="299"/>
      <c r="B105" s="65" t="s">
        <v>377</v>
      </c>
      <c r="C105" s="4"/>
      <c r="D105" s="94"/>
      <c r="E105" s="66"/>
      <c r="F105" s="476" t="str">
        <f>IFERROR(1-('2) Ingresos'!$G105/'2) Ingresos'!$H105),"")</f>
        <v/>
      </c>
      <c r="G105" s="66"/>
      <c r="H105" s="99"/>
      <c r="I105" s="472" t="str">
        <f>IF('2) Ingresos'!$D105*'2) Ingresos'!$E105=0,"",'2) Ingresos'!$D105*'2) Ingresos'!$E105)</f>
        <v/>
      </c>
      <c r="J105" s="299"/>
    </row>
    <row r="106" spans="1:10" x14ac:dyDescent="0.35">
      <c r="A106" s="299"/>
      <c r="B106" s="65" t="s">
        <v>377</v>
      </c>
      <c r="C106" s="4"/>
      <c r="D106" s="94"/>
      <c r="E106" s="66"/>
      <c r="F106" s="476" t="str">
        <f>IFERROR(1-('2) Ingresos'!$G106/'2) Ingresos'!$H106),"")</f>
        <v/>
      </c>
      <c r="G106" s="66"/>
      <c r="H106" s="99"/>
      <c r="I106" s="472" t="str">
        <f>IF('2) Ingresos'!$D106*'2) Ingresos'!$E106=0,"",'2) Ingresos'!$D106*'2) Ingresos'!$E106)</f>
        <v/>
      </c>
      <c r="J106" s="299"/>
    </row>
    <row r="107" spans="1:10" x14ac:dyDescent="0.35">
      <c r="A107" s="299"/>
      <c r="B107" s="65" t="s">
        <v>377</v>
      </c>
      <c r="C107" s="4"/>
      <c r="D107" s="94"/>
      <c r="E107" s="66"/>
      <c r="F107" s="476" t="str">
        <f>IFERROR(1-('2) Ingresos'!$G107/'2) Ingresos'!$H107),"")</f>
        <v/>
      </c>
      <c r="G107" s="66"/>
      <c r="H107" s="99"/>
      <c r="I107" s="472" t="str">
        <f>IF('2) Ingresos'!$D107*'2) Ingresos'!$E107=0,"",'2) Ingresos'!$D107*'2) Ingresos'!$E107)</f>
        <v/>
      </c>
      <c r="J107" s="299"/>
    </row>
    <row r="108" spans="1:10" x14ac:dyDescent="0.35">
      <c r="A108" s="299"/>
      <c r="B108" s="65" t="s">
        <v>377</v>
      </c>
      <c r="C108" s="4"/>
      <c r="D108" s="94"/>
      <c r="E108" s="66"/>
      <c r="F108" s="476" t="str">
        <f>IFERROR(1-('2) Ingresos'!$G108/'2) Ingresos'!$H108),"")</f>
        <v/>
      </c>
      <c r="G108" s="66"/>
      <c r="H108" s="99"/>
      <c r="I108" s="472" t="str">
        <f>IF('2) Ingresos'!$D108*'2) Ingresos'!$E108=0,"",'2) Ingresos'!$D108*'2) Ingresos'!$E108)</f>
        <v/>
      </c>
      <c r="J108" s="299"/>
    </row>
    <row r="109" spans="1:10" x14ac:dyDescent="0.35">
      <c r="A109" s="299"/>
      <c r="B109" s="65" t="s">
        <v>377</v>
      </c>
      <c r="C109" s="4"/>
      <c r="D109" s="94"/>
      <c r="E109" s="66"/>
      <c r="F109" s="476" t="str">
        <f>IFERROR(1-('2) Ingresos'!$G109/'2) Ingresos'!$H109),"")</f>
        <v/>
      </c>
      <c r="G109" s="66"/>
      <c r="H109" s="99"/>
      <c r="I109" s="472" t="str">
        <f>IF('2) Ingresos'!$D109*'2) Ingresos'!$E109=0,"",'2) Ingresos'!$D109*'2) Ingresos'!$E109)</f>
        <v/>
      </c>
      <c r="J109" s="299"/>
    </row>
    <row r="110" spans="1:10" x14ac:dyDescent="0.35">
      <c r="A110" s="299"/>
      <c r="B110" s="65" t="s">
        <v>377</v>
      </c>
      <c r="C110" s="4"/>
      <c r="D110" s="94"/>
      <c r="E110" s="66"/>
      <c r="F110" s="476" t="str">
        <f>IFERROR(1-('2) Ingresos'!$G110/'2) Ingresos'!$H110),"")</f>
        <v/>
      </c>
      <c r="G110" s="66"/>
      <c r="H110" s="99"/>
      <c r="I110" s="472" t="str">
        <f>IF('2) Ingresos'!$D110*'2) Ingresos'!$E110=0,"",'2) Ingresos'!$D110*'2) Ingresos'!$E110)</f>
        <v/>
      </c>
      <c r="J110" s="299"/>
    </row>
    <row r="111" spans="1:10" x14ac:dyDescent="0.35">
      <c r="A111" s="299"/>
      <c r="B111" s="65" t="s">
        <v>377</v>
      </c>
      <c r="C111" s="4"/>
      <c r="D111" s="94"/>
      <c r="E111" s="66"/>
      <c r="F111" s="476" t="str">
        <f>IFERROR(1-('2) Ingresos'!$G111/'2) Ingresos'!$H111),"")</f>
        <v/>
      </c>
      <c r="G111" s="66"/>
      <c r="H111" s="99"/>
      <c r="I111" s="472" t="str">
        <f>IF('2) Ingresos'!$D111*'2) Ingresos'!$E111=0,"",'2) Ingresos'!$D111*'2) Ingresos'!$E111)</f>
        <v/>
      </c>
      <c r="J111" s="299"/>
    </row>
    <row r="112" spans="1:10" ht="15" hidden="1" thickBot="1" x14ac:dyDescent="0.4">
      <c r="A112" s="299"/>
      <c r="B112" s="912" t="str">
        <f>Language!A65</f>
        <v>Total</v>
      </c>
      <c r="C112" s="913"/>
      <c r="D112" s="913"/>
      <c r="E112" s="913"/>
      <c r="F112" s="913"/>
      <c r="G112" s="478">
        <f>SUM(G12:G111)</f>
        <v>10000000</v>
      </c>
      <c r="H112" s="479">
        <f>SUM(H12:H111)</f>
        <v>12000000</v>
      </c>
      <c r="I112" s="480">
        <f>SUM(I12:I111)</f>
        <v>12000000</v>
      </c>
      <c r="J112" s="299"/>
    </row>
    <row r="113" spans="1:10" ht="15" hidden="1" thickBot="1" x14ac:dyDescent="0.4">
      <c r="A113" s="299"/>
      <c r="B113" s="481"/>
      <c r="C113" s="482"/>
      <c r="D113" s="482"/>
      <c r="E113" s="482"/>
      <c r="F113" s="482" t="str">
        <f>Language!A66</f>
        <v>Promedio anual</v>
      </c>
      <c r="G113" s="483">
        <f>IF(COUNT(G114:G146)=0,0,SUM(G114:G146)/COUNT(G114:G146))</f>
        <v>10000000</v>
      </c>
      <c r="H113" s="483">
        <f>IF(COUNT(H114:H146)=0,0,SUM(H114:H146)/COUNT(H114:H146))</f>
        <v>12000000</v>
      </c>
      <c r="I113" s="484">
        <f>IF(COUNT(I114:I146)=0,0,SUM(I114:I146)/COUNT(I114:I146))</f>
        <v>12000000</v>
      </c>
      <c r="J113" s="299"/>
    </row>
    <row r="114" spans="1:10" hidden="1" x14ac:dyDescent="0.35">
      <c r="A114" s="299"/>
      <c r="B114" s="299"/>
      <c r="C114" s="299"/>
      <c r="D114" s="299"/>
      <c r="E114" s="299">
        <f>MIN($C$12:$C$40,$C$43:$C$73,$C$76:$C$93,$C$96:$C$111)</f>
        <v>2019</v>
      </c>
      <c r="F114" s="299" t="str">
        <f>CONCATENATE("Total en ", E114)</f>
        <v>Total en 2019</v>
      </c>
      <c r="G114" s="299">
        <f t="shared" ref="G114:I133" si="0">IF(SUMIF($C$12:$C$40,$E114,G$12:G$40)+SUMIF($C$43:$C$73,$E114,G$43:G$73)+SUMIF($C$76:$C$93,$E114,G$76:G$93)+SUMIF($C$96:$C$111,$E114,G$96:G$111)=0,"",SUMIF($C$12:$C$40,$E114,G$12:G$40)+SUMIF($C$43:$C$73,$E114,G$43:G$73)+SUMIF($C$76:$C$93,$E114,G$76:G$93)+SUMIF($C$96:$C$111,$E114,G$96:G$111))</f>
        <v>10000000</v>
      </c>
      <c r="H114" s="299">
        <f t="shared" si="0"/>
        <v>12000000</v>
      </c>
      <c r="I114" s="299">
        <f t="shared" si="0"/>
        <v>12000000</v>
      </c>
      <c r="J114" s="299"/>
    </row>
    <row r="115" spans="1:10" hidden="1" x14ac:dyDescent="0.35">
      <c r="A115" s="299"/>
      <c r="B115" s="299"/>
      <c r="C115" s="299"/>
      <c r="D115" s="299"/>
      <c r="E115" s="299">
        <f>E114+1</f>
        <v>2020</v>
      </c>
      <c r="F115" s="299" t="str">
        <f t="shared" ref="F115:F144" si="1">CONCATENATE("Total en ", E115)</f>
        <v>Total en 2020</v>
      </c>
      <c r="G115" s="299" t="str">
        <f t="shared" si="0"/>
        <v/>
      </c>
      <c r="H115" s="299" t="str">
        <f t="shared" si="0"/>
        <v/>
      </c>
      <c r="I115" s="299" t="str">
        <f t="shared" si="0"/>
        <v/>
      </c>
      <c r="J115" s="299"/>
    </row>
    <row r="116" spans="1:10" hidden="1" x14ac:dyDescent="0.35">
      <c r="A116" s="299"/>
      <c r="B116" s="299"/>
      <c r="C116" s="299"/>
      <c r="D116" s="299"/>
      <c r="E116" s="299">
        <f t="shared" ref="E116:E146" si="2">E115+1</f>
        <v>2021</v>
      </c>
      <c r="F116" s="299" t="str">
        <f t="shared" si="1"/>
        <v>Total en 2021</v>
      </c>
      <c r="G116" s="299" t="str">
        <f t="shared" si="0"/>
        <v/>
      </c>
      <c r="H116" s="299" t="str">
        <f t="shared" si="0"/>
        <v/>
      </c>
      <c r="I116" s="299" t="str">
        <f t="shared" si="0"/>
        <v/>
      </c>
      <c r="J116" s="299"/>
    </row>
    <row r="117" spans="1:10" hidden="1" x14ac:dyDescent="0.35">
      <c r="A117" s="299"/>
      <c r="B117" s="299"/>
      <c r="C117" s="299"/>
      <c r="D117" s="299"/>
      <c r="E117" s="299">
        <f t="shared" si="2"/>
        <v>2022</v>
      </c>
      <c r="F117" s="299" t="str">
        <f t="shared" si="1"/>
        <v>Total en 2022</v>
      </c>
      <c r="G117" s="299" t="str">
        <f t="shared" si="0"/>
        <v/>
      </c>
      <c r="H117" s="299" t="str">
        <f t="shared" si="0"/>
        <v/>
      </c>
      <c r="I117" s="299" t="str">
        <f t="shared" si="0"/>
        <v/>
      </c>
      <c r="J117" s="299"/>
    </row>
    <row r="118" spans="1:10" hidden="1" x14ac:dyDescent="0.35">
      <c r="A118" s="299"/>
      <c r="B118" s="299"/>
      <c r="C118" s="299"/>
      <c r="D118" s="299"/>
      <c r="E118" s="299">
        <f t="shared" si="2"/>
        <v>2023</v>
      </c>
      <c r="F118" s="299" t="str">
        <f t="shared" si="1"/>
        <v>Total en 2023</v>
      </c>
      <c r="G118" s="299" t="str">
        <f t="shared" si="0"/>
        <v/>
      </c>
      <c r="H118" s="299" t="str">
        <f t="shared" si="0"/>
        <v/>
      </c>
      <c r="I118" s="299" t="str">
        <f t="shared" si="0"/>
        <v/>
      </c>
      <c r="J118" s="299"/>
    </row>
    <row r="119" spans="1:10" hidden="1" x14ac:dyDescent="0.35">
      <c r="A119" s="299"/>
      <c r="B119" s="299"/>
      <c r="C119" s="299"/>
      <c r="D119" s="299"/>
      <c r="E119" s="299">
        <f t="shared" si="2"/>
        <v>2024</v>
      </c>
      <c r="F119" s="299" t="str">
        <f t="shared" si="1"/>
        <v>Total en 2024</v>
      </c>
      <c r="G119" s="299" t="str">
        <f t="shared" si="0"/>
        <v/>
      </c>
      <c r="H119" s="299" t="str">
        <f t="shared" si="0"/>
        <v/>
      </c>
      <c r="I119" s="299" t="str">
        <f t="shared" si="0"/>
        <v/>
      </c>
      <c r="J119" s="299"/>
    </row>
    <row r="120" spans="1:10" hidden="1" x14ac:dyDescent="0.35">
      <c r="A120" s="299"/>
      <c r="B120" s="299"/>
      <c r="C120" s="299"/>
      <c r="D120" s="299"/>
      <c r="E120" s="299">
        <f t="shared" si="2"/>
        <v>2025</v>
      </c>
      <c r="F120" s="299" t="str">
        <f t="shared" si="1"/>
        <v>Total en 2025</v>
      </c>
      <c r="G120" s="299" t="str">
        <f t="shared" si="0"/>
        <v/>
      </c>
      <c r="H120" s="299" t="str">
        <f t="shared" si="0"/>
        <v/>
      </c>
      <c r="I120" s="299" t="str">
        <f t="shared" si="0"/>
        <v/>
      </c>
      <c r="J120" s="299"/>
    </row>
    <row r="121" spans="1:10" hidden="1" x14ac:dyDescent="0.35">
      <c r="A121" s="299"/>
      <c r="B121" s="299"/>
      <c r="C121" s="299"/>
      <c r="D121" s="299"/>
      <c r="E121" s="299">
        <f t="shared" si="2"/>
        <v>2026</v>
      </c>
      <c r="F121" s="299" t="str">
        <f t="shared" si="1"/>
        <v>Total en 2026</v>
      </c>
      <c r="G121" s="299" t="str">
        <f t="shared" si="0"/>
        <v/>
      </c>
      <c r="H121" s="299" t="str">
        <f t="shared" si="0"/>
        <v/>
      </c>
      <c r="I121" s="299" t="str">
        <f t="shared" si="0"/>
        <v/>
      </c>
      <c r="J121" s="299"/>
    </row>
    <row r="122" spans="1:10" hidden="1" x14ac:dyDescent="0.35">
      <c r="A122" s="299"/>
      <c r="B122" s="299"/>
      <c r="C122" s="299"/>
      <c r="D122" s="299"/>
      <c r="E122" s="299">
        <f t="shared" si="2"/>
        <v>2027</v>
      </c>
      <c r="F122" s="299" t="str">
        <f t="shared" si="1"/>
        <v>Total en 2027</v>
      </c>
      <c r="G122" s="299" t="str">
        <f t="shared" si="0"/>
        <v/>
      </c>
      <c r="H122" s="299" t="str">
        <f t="shared" si="0"/>
        <v/>
      </c>
      <c r="I122" s="299" t="str">
        <f t="shared" si="0"/>
        <v/>
      </c>
      <c r="J122" s="299"/>
    </row>
    <row r="123" spans="1:10" hidden="1" x14ac:dyDescent="0.35">
      <c r="A123" s="299"/>
      <c r="B123" s="299"/>
      <c r="C123" s="299"/>
      <c r="D123" s="299"/>
      <c r="E123" s="299">
        <f t="shared" si="2"/>
        <v>2028</v>
      </c>
      <c r="F123" s="299" t="str">
        <f t="shared" si="1"/>
        <v>Total en 2028</v>
      </c>
      <c r="G123" s="299" t="str">
        <f t="shared" si="0"/>
        <v/>
      </c>
      <c r="H123" s="299" t="str">
        <f t="shared" si="0"/>
        <v/>
      </c>
      <c r="I123" s="299" t="str">
        <f t="shared" si="0"/>
        <v/>
      </c>
      <c r="J123" s="299"/>
    </row>
    <row r="124" spans="1:10" hidden="1" x14ac:dyDescent="0.35">
      <c r="A124" s="299"/>
      <c r="B124" s="299"/>
      <c r="C124" s="299"/>
      <c r="D124" s="299"/>
      <c r="E124" s="299">
        <f t="shared" si="2"/>
        <v>2029</v>
      </c>
      <c r="F124" s="299" t="str">
        <f t="shared" si="1"/>
        <v>Total en 2029</v>
      </c>
      <c r="G124" s="299" t="str">
        <f t="shared" si="0"/>
        <v/>
      </c>
      <c r="H124" s="299" t="str">
        <f t="shared" si="0"/>
        <v/>
      </c>
      <c r="I124" s="299" t="str">
        <f t="shared" si="0"/>
        <v/>
      </c>
      <c r="J124" s="299"/>
    </row>
    <row r="125" spans="1:10" hidden="1" x14ac:dyDescent="0.35">
      <c r="A125" s="299"/>
      <c r="B125" s="299"/>
      <c r="C125" s="299"/>
      <c r="D125" s="299"/>
      <c r="E125" s="299">
        <f t="shared" si="2"/>
        <v>2030</v>
      </c>
      <c r="F125" s="299" t="str">
        <f t="shared" si="1"/>
        <v>Total en 2030</v>
      </c>
      <c r="G125" s="299" t="str">
        <f t="shared" si="0"/>
        <v/>
      </c>
      <c r="H125" s="299" t="str">
        <f t="shared" si="0"/>
        <v/>
      </c>
      <c r="I125" s="299" t="str">
        <f t="shared" si="0"/>
        <v/>
      </c>
      <c r="J125" s="299"/>
    </row>
    <row r="126" spans="1:10" hidden="1" x14ac:dyDescent="0.35">
      <c r="A126" s="299"/>
      <c r="B126" s="299"/>
      <c r="C126" s="299"/>
      <c r="D126" s="299"/>
      <c r="E126" s="299">
        <f t="shared" si="2"/>
        <v>2031</v>
      </c>
      <c r="F126" s="299" t="str">
        <f t="shared" si="1"/>
        <v>Total en 2031</v>
      </c>
      <c r="G126" s="299" t="str">
        <f t="shared" si="0"/>
        <v/>
      </c>
      <c r="H126" s="299" t="str">
        <f t="shared" si="0"/>
        <v/>
      </c>
      <c r="I126" s="299" t="str">
        <f t="shared" si="0"/>
        <v/>
      </c>
      <c r="J126" s="299"/>
    </row>
    <row r="127" spans="1:10" hidden="1" x14ac:dyDescent="0.35">
      <c r="A127" s="299"/>
      <c r="B127" s="299"/>
      <c r="C127" s="299"/>
      <c r="D127" s="299"/>
      <c r="E127" s="299">
        <f t="shared" si="2"/>
        <v>2032</v>
      </c>
      <c r="F127" s="299" t="str">
        <f t="shared" si="1"/>
        <v>Total en 2032</v>
      </c>
      <c r="G127" s="299" t="str">
        <f t="shared" si="0"/>
        <v/>
      </c>
      <c r="H127" s="299" t="str">
        <f t="shared" si="0"/>
        <v/>
      </c>
      <c r="I127" s="299" t="str">
        <f t="shared" si="0"/>
        <v/>
      </c>
      <c r="J127" s="299"/>
    </row>
    <row r="128" spans="1:10" hidden="1" x14ac:dyDescent="0.35">
      <c r="A128" s="299"/>
      <c r="B128" s="299"/>
      <c r="C128" s="299"/>
      <c r="D128" s="299"/>
      <c r="E128" s="299">
        <f t="shared" si="2"/>
        <v>2033</v>
      </c>
      <c r="F128" s="299" t="str">
        <f t="shared" si="1"/>
        <v>Total en 2033</v>
      </c>
      <c r="G128" s="299" t="str">
        <f t="shared" si="0"/>
        <v/>
      </c>
      <c r="H128" s="299" t="str">
        <f t="shared" si="0"/>
        <v/>
      </c>
      <c r="I128" s="299" t="str">
        <f t="shared" si="0"/>
        <v/>
      </c>
      <c r="J128" s="299"/>
    </row>
    <row r="129" spans="1:10" hidden="1" x14ac:dyDescent="0.35">
      <c r="A129" s="299"/>
      <c r="B129" s="299"/>
      <c r="C129" s="299"/>
      <c r="D129" s="299"/>
      <c r="E129" s="299">
        <f t="shared" si="2"/>
        <v>2034</v>
      </c>
      <c r="F129" s="299" t="str">
        <f t="shared" si="1"/>
        <v>Total en 2034</v>
      </c>
      <c r="G129" s="299" t="str">
        <f t="shared" si="0"/>
        <v/>
      </c>
      <c r="H129" s="299" t="str">
        <f t="shared" si="0"/>
        <v/>
      </c>
      <c r="I129" s="299" t="str">
        <f t="shared" si="0"/>
        <v/>
      </c>
      <c r="J129" s="299"/>
    </row>
    <row r="130" spans="1:10" hidden="1" x14ac:dyDescent="0.35">
      <c r="A130" s="299"/>
      <c r="B130" s="299"/>
      <c r="C130" s="299"/>
      <c r="D130" s="299"/>
      <c r="E130" s="299">
        <f t="shared" si="2"/>
        <v>2035</v>
      </c>
      <c r="F130" s="299" t="str">
        <f t="shared" si="1"/>
        <v>Total en 2035</v>
      </c>
      <c r="G130" s="299" t="str">
        <f t="shared" si="0"/>
        <v/>
      </c>
      <c r="H130" s="299" t="str">
        <f t="shared" si="0"/>
        <v/>
      </c>
      <c r="I130" s="299" t="str">
        <f t="shared" si="0"/>
        <v/>
      </c>
      <c r="J130" s="299"/>
    </row>
    <row r="131" spans="1:10" hidden="1" x14ac:dyDescent="0.35">
      <c r="A131" s="299"/>
      <c r="B131" s="299"/>
      <c r="C131" s="299"/>
      <c r="D131" s="299"/>
      <c r="E131" s="299">
        <f t="shared" si="2"/>
        <v>2036</v>
      </c>
      <c r="F131" s="299" t="str">
        <f t="shared" si="1"/>
        <v>Total en 2036</v>
      </c>
      <c r="G131" s="299" t="str">
        <f t="shared" si="0"/>
        <v/>
      </c>
      <c r="H131" s="299" t="str">
        <f t="shared" si="0"/>
        <v/>
      </c>
      <c r="I131" s="299" t="str">
        <f t="shared" si="0"/>
        <v/>
      </c>
      <c r="J131" s="299"/>
    </row>
    <row r="132" spans="1:10" hidden="1" x14ac:dyDescent="0.35">
      <c r="A132" s="299"/>
      <c r="B132" s="299"/>
      <c r="C132" s="299"/>
      <c r="D132" s="299"/>
      <c r="E132" s="299">
        <f t="shared" si="2"/>
        <v>2037</v>
      </c>
      <c r="F132" s="299" t="str">
        <f t="shared" si="1"/>
        <v>Total en 2037</v>
      </c>
      <c r="G132" s="299" t="str">
        <f t="shared" si="0"/>
        <v/>
      </c>
      <c r="H132" s="299" t="str">
        <f t="shared" si="0"/>
        <v/>
      </c>
      <c r="I132" s="299" t="str">
        <f t="shared" si="0"/>
        <v/>
      </c>
      <c r="J132" s="299"/>
    </row>
    <row r="133" spans="1:10" hidden="1" x14ac:dyDescent="0.35">
      <c r="A133" s="299"/>
      <c r="B133" s="299"/>
      <c r="C133" s="299"/>
      <c r="D133" s="299"/>
      <c r="E133" s="299">
        <f t="shared" si="2"/>
        <v>2038</v>
      </c>
      <c r="F133" s="299" t="str">
        <f t="shared" si="1"/>
        <v>Total en 2038</v>
      </c>
      <c r="G133" s="299" t="str">
        <f t="shared" si="0"/>
        <v/>
      </c>
      <c r="H133" s="299" t="str">
        <f t="shared" si="0"/>
        <v/>
      </c>
      <c r="I133" s="299" t="str">
        <f t="shared" si="0"/>
        <v/>
      </c>
      <c r="J133" s="299"/>
    </row>
    <row r="134" spans="1:10" hidden="1" x14ac:dyDescent="0.35">
      <c r="A134" s="299"/>
      <c r="B134" s="299"/>
      <c r="C134" s="299"/>
      <c r="D134" s="299"/>
      <c r="E134" s="299">
        <f t="shared" si="2"/>
        <v>2039</v>
      </c>
      <c r="F134" s="299" t="str">
        <f t="shared" si="1"/>
        <v>Total en 2039</v>
      </c>
      <c r="G134" s="299" t="str">
        <f t="shared" ref="G134:I146" si="3">IF(SUMIF($C$12:$C$40,$E134,G$12:G$40)+SUMIF($C$43:$C$73,$E134,G$43:G$73)+SUMIF($C$76:$C$93,$E134,G$76:G$93)+SUMIF($C$96:$C$111,$E134,G$96:G$111)=0,"",SUMIF($C$12:$C$40,$E134,G$12:G$40)+SUMIF($C$43:$C$73,$E134,G$43:G$73)+SUMIF($C$76:$C$93,$E134,G$76:G$93)+SUMIF($C$96:$C$111,$E134,G$96:G$111))</f>
        <v/>
      </c>
      <c r="H134" s="299" t="str">
        <f t="shared" si="3"/>
        <v/>
      </c>
      <c r="I134" s="299" t="str">
        <f t="shared" si="3"/>
        <v/>
      </c>
      <c r="J134" s="299"/>
    </row>
    <row r="135" spans="1:10" hidden="1" x14ac:dyDescent="0.35">
      <c r="A135" s="299"/>
      <c r="B135" s="299"/>
      <c r="C135" s="299"/>
      <c r="D135" s="299"/>
      <c r="E135" s="299">
        <f t="shared" si="2"/>
        <v>2040</v>
      </c>
      <c r="F135" s="299" t="str">
        <f t="shared" si="1"/>
        <v>Total en 2040</v>
      </c>
      <c r="G135" s="299" t="str">
        <f t="shared" si="3"/>
        <v/>
      </c>
      <c r="H135" s="299" t="str">
        <f t="shared" si="3"/>
        <v/>
      </c>
      <c r="I135" s="299" t="str">
        <f t="shared" si="3"/>
        <v/>
      </c>
      <c r="J135" s="299"/>
    </row>
    <row r="136" spans="1:10" hidden="1" x14ac:dyDescent="0.35">
      <c r="A136" s="299"/>
      <c r="B136" s="299"/>
      <c r="C136" s="299"/>
      <c r="D136" s="299"/>
      <c r="E136" s="299">
        <f t="shared" si="2"/>
        <v>2041</v>
      </c>
      <c r="F136" s="299" t="str">
        <f t="shared" si="1"/>
        <v>Total en 2041</v>
      </c>
      <c r="G136" s="299" t="str">
        <f t="shared" si="3"/>
        <v/>
      </c>
      <c r="H136" s="299" t="str">
        <f t="shared" si="3"/>
        <v/>
      </c>
      <c r="I136" s="299" t="str">
        <f t="shared" si="3"/>
        <v/>
      </c>
      <c r="J136" s="299"/>
    </row>
    <row r="137" spans="1:10" hidden="1" x14ac:dyDescent="0.35">
      <c r="A137" s="299"/>
      <c r="B137" s="299"/>
      <c r="C137" s="299"/>
      <c r="D137" s="299"/>
      <c r="E137" s="299">
        <f t="shared" si="2"/>
        <v>2042</v>
      </c>
      <c r="F137" s="299" t="str">
        <f t="shared" si="1"/>
        <v>Total en 2042</v>
      </c>
      <c r="G137" s="299" t="str">
        <f t="shared" si="3"/>
        <v/>
      </c>
      <c r="H137" s="299" t="str">
        <f t="shared" si="3"/>
        <v/>
      </c>
      <c r="I137" s="299" t="str">
        <f t="shared" si="3"/>
        <v/>
      </c>
      <c r="J137" s="299"/>
    </row>
    <row r="138" spans="1:10" hidden="1" x14ac:dyDescent="0.35">
      <c r="A138" s="299"/>
      <c r="B138" s="299"/>
      <c r="C138" s="299"/>
      <c r="D138" s="299"/>
      <c r="E138" s="299">
        <f t="shared" si="2"/>
        <v>2043</v>
      </c>
      <c r="F138" s="299" t="str">
        <f t="shared" si="1"/>
        <v>Total en 2043</v>
      </c>
      <c r="G138" s="299" t="str">
        <f t="shared" si="3"/>
        <v/>
      </c>
      <c r="H138" s="299" t="str">
        <f t="shared" si="3"/>
        <v/>
      </c>
      <c r="I138" s="299" t="str">
        <f t="shared" si="3"/>
        <v/>
      </c>
      <c r="J138" s="299"/>
    </row>
    <row r="139" spans="1:10" hidden="1" x14ac:dyDescent="0.35">
      <c r="A139" s="299"/>
      <c r="B139" s="299"/>
      <c r="C139" s="299"/>
      <c r="D139" s="299"/>
      <c r="E139" s="299">
        <f t="shared" si="2"/>
        <v>2044</v>
      </c>
      <c r="F139" s="299" t="str">
        <f t="shared" si="1"/>
        <v>Total en 2044</v>
      </c>
      <c r="G139" s="299" t="str">
        <f t="shared" si="3"/>
        <v/>
      </c>
      <c r="H139" s="299" t="str">
        <f t="shared" si="3"/>
        <v/>
      </c>
      <c r="I139" s="299" t="str">
        <f t="shared" si="3"/>
        <v/>
      </c>
      <c r="J139" s="299"/>
    </row>
    <row r="140" spans="1:10" hidden="1" x14ac:dyDescent="0.35">
      <c r="A140" s="299"/>
      <c r="B140" s="299"/>
      <c r="C140" s="299"/>
      <c r="D140" s="299"/>
      <c r="E140" s="299">
        <f t="shared" si="2"/>
        <v>2045</v>
      </c>
      <c r="F140" s="299" t="str">
        <f t="shared" si="1"/>
        <v>Total en 2045</v>
      </c>
      <c r="G140" s="299" t="str">
        <f t="shared" si="3"/>
        <v/>
      </c>
      <c r="H140" s="299" t="str">
        <f t="shared" si="3"/>
        <v/>
      </c>
      <c r="I140" s="299" t="str">
        <f t="shared" si="3"/>
        <v/>
      </c>
      <c r="J140" s="299"/>
    </row>
    <row r="141" spans="1:10" hidden="1" x14ac:dyDescent="0.35">
      <c r="A141" s="299"/>
      <c r="B141" s="299"/>
      <c r="C141" s="299"/>
      <c r="D141" s="299"/>
      <c r="E141" s="299">
        <f t="shared" si="2"/>
        <v>2046</v>
      </c>
      <c r="F141" s="299" t="str">
        <f t="shared" si="1"/>
        <v>Total en 2046</v>
      </c>
      <c r="G141" s="299" t="str">
        <f t="shared" si="3"/>
        <v/>
      </c>
      <c r="H141" s="299" t="str">
        <f t="shared" si="3"/>
        <v/>
      </c>
      <c r="I141" s="299" t="str">
        <f t="shared" si="3"/>
        <v/>
      </c>
      <c r="J141" s="299"/>
    </row>
    <row r="142" spans="1:10" hidden="1" x14ac:dyDescent="0.35">
      <c r="A142" s="299"/>
      <c r="B142" s="299"/>
      <c r="C142" s="299"/>
      <c r="D142" s="299"/>
      <c r="E142" s="299">
        <f t="shared" si="2"/>
        <v>2047</v>
      </c>
      <c r="F142" s="299" t="str">
        <f t="shared" si="1"/>
        <v>Total en 2047</v>
      </c>
      <c r="G142" s="299" t="str">
        <f t="shared" si="3"/>
        <v/>
      </c>
      <c r="H142" s="299" t="str">
        <f t="shared" si="3"/>
        <v/>
      </c>
      <c r="I142" s="299" t="str">
        <f t="shared" si="3"/>
        <v/>
      </c>
      <c r="J142" s="299"/>
    </row>
    <row r="143" spans="1:10" hidden="1" x14ac:dyDescent="0.35">
      <c r="A143" s="299"/>
      <c r="B143" s="299"/>
      <c r="C143" s="299"/>
      <c r="D143" s="299"/>
      <c r="E143" s="299">
        <f t="shared" si="2"/>
        <v>2048</v>
      </c>
      <c r="F143" s="299" t="str">
        <f t="shared" si="1"/>
        <v>Total en 2048</v>
      </c>
      <c r="G143" s="299" t="str">
        <f t="shared" si="3"/>
        <v/>
      </c>
      <c r="H143" s="299" t="str">
        <f t="shared" si="3"/>
        <v/>
      </c>
      <c r="I143" s="299" t="str">
        <f t="shared" si="3"/>
        <v/>
      </c>
      <c r="J143" s="299"/>
    </row>
    <row r="144" spans="1:10" hidden="1" x14ac:dyDescent="0.35">
      <c r="A144" s="299"/>
      <c r="B144" s="299"/>
      <c r="C144" s="299"/>
      <c r="D144" s="299"/>
      <c r="E144" s="299">
        <f t="shared" si="2"/>
        <v>2049</v>
      </c>
      <c r="F144" s="299" t="str">
        <f t="shared" si="1"/>
        <v>Total en 2049</v>
      </c>
      <c r="G144" s="299" t="str">
        <f t="shared" si="3"/>
        <v/>
      </c>
      <c r="H144" s="299" t="str">
        <f t="shared" si="3"/>
        <v/>
      </c>
      <c r="I144" s="299" t="str">
        <f t="shared" si="3"/>
        <v/>
      </c>
      <c r="J144" s="299"/>
    </row>
    <row r="145" spans="1:10" hidden="1" x14ac:dyDescent="0.35">
      <c r="B145" s="299"/>
      <c r="C145" s="299"/>
      <c r="D145" s="299"/>
      <c r="E145" s="299">
        <f t="shared" si="2"/>
        <v>2050</v>
      </c>
      <c r="F145" s="299" t="str">
        <f t="shared" ref="F145:F146" si="4">CONCATENATE("Total en ", E145)</f>
        <v>Total en 2050</v>
      </c>
      <c r="G145" s="299" t="str">
        <f t="shared" si="3"/>
        <v/>
      </c>
      <c r="H145" s="299" t="str">
        <f t="shared" si="3"/>
        <v/>
      </c>
      <c r="I145" s="299" t="str">
        <f t="shared" si="3"/>
        <v/>
      </c>
      <c r="J145" s="299"/>
    </row>
    <row r="146" spans="1:10" hidden="1" x14ac:dyDescent="0.35">
      <c r="B146" s="299"/>
      <c r="C146" s="299"/>
      <c r="D146" s="299"/>
      <c r="E146" s="299">
        <f t="shared" si="2"/>
        <v>2051</v>
      </c>
      <c r="F146" s="299" t="str">
        <f t="shared" si="4"/>
        <v>Total en 2051</v>
      </c>
      <c r="G146" s="299" t="str">
        <f t="shared" si="3"/>
        <v/>
      </c>
      <c r="H146" s="299" t="str">
        <f t="shared" si="3"/>
        <v/>
      </c>
      <c r="I146" s="299" t="str">
        <f t="shared" si="3"/>
        <v/>
      </c>
    </row>
    <row r="147" spans="1:10" hidden="1" x14ac:dyDescent="0.35">
      <c r="B147" s="299"/>
      <c r="C147" s="299"/>
      <c r="D147" s="299"/>
      <c r="E147" s="299"/>
      <c r="F147" s="299"/>
      <c r="G147" s="299"/>
      <c r="H147" s="299"/>
    </row>
    <row r="148" spans="1:10" hidden="1" x14ac:dyDescent="0.35">
      <c r="B148" s="299"/>
      <c r="C148" s="299"/>
      <c r="D148" s="299"/>
      <c r="E148" s="299"/>
      <c r="F148" s="299"/>
      <c r="G148" s="299"/>
      <c r="H148" s="299"/>
    </row>
    <row r="150" spans="1:10" x14ac:dyDescent="0.35">
      <c r="A150" s="299"/>
      <c r="B150" s="299"/>
      <c r="C150" s="299"/>
      <c r="D150" s="299"/>
      <c r="E150" s="299"/>
      <c r="F150" s="299"/>
      <c r="G150" s="299"/>
      <c r="H150" s="299"/>
      <c r="J150" s="299"/>
    </row>
    <row r="151" spans="1:10" x14ac:dyDescent="0.35">
      <c r="A151" s="299"/>
      <c r="B151" s="299"/>
      <c r="C151" s="299"/>
      <c r="D151" s="299"/>
      <c r="E151" s="299"/>
      <c r="F151" s="299"/>
      <c r="G151" s="299"/>
      <c r="H151" s="299"/>
      <c r="J151" s="299"/>
    </row>
    <row r="152" spans="1:10" x14ac:dyDescent="0.35">
      <c r="A152" s="299"/>
      <c r="B152" s="299"/>
      <c r="C152" s="299"/>
      <c r="D152" s="299"/>
      <c r="E152" s="299"/>
      <c r="F152" s="299"/>
      <c r="G152" s="299"/>
      <c r="H152" s="299"/>
      <c r="J152" s="299"/>
    </row>
    <row r="153" spans="1:10" hidden="1" x14ac:dyDescent="0.35">
      <c r="A153" s="299"/>
      <c r="B153" s="299"/>
      <c r="C153" s="299"/>
      <c r="D153" s="299"/>
      <c r="E153" s="299"/>
      <c r="F153" s="299"/>
      <c r="G153" s="299"/>
      <c r="H153" s="299"/>
      <c r="J153" s="299"/>
    </row>
    <row r="154" spans="1:10" x14ac:dyDescent="0.35">
      <c r="A154" s="299"/>
      <c r="B154" s="299"/>
      <c r="C154" s="299"/>
      <c r="D154" s="299"/>
      <c r="E154" s="299"/>
      <c r="F154" s="299"/>
      <c r="G154" s="299"/>
      <c r="H154" s="299"/>
      <c r="J154" s="299"/>
    </row>
    <row r="155" spans="1:10" hidden="1" x14ac:dyDescent="0.35">
      <c r="A155" s="299"/>
      <c r="B155" s="299"/>
      <c r="C155" s="299"/>
      <c r="D155" s="299"/>
      <c r="E155" s="299"/>
      <c r="F155" s="299"/>
      <c r="G155" s="299"/>
      <c r="H155" s="299"/>
      <c r="J155" s="299"/>
    </row>
    <row r="156" spans="1:10" x14ac:dyDescent="0.35">
      <c r="A156" s="299"/>
      <c r="B156" s="299"/>
      <c r="C156" s="299"/>
      <c r="D156" s="299"/>
      <c r="E156" s="299"/>
      <c r="F156" s="299"/>
      <c r="G156" s="299"/>
      <c r="H156" s="299"/>
      <c r="J156" s="299"/>
    </row>
    <row r="157" spans="1:10" hidden="1" x14ac:dyDescent="0.35">
      <c r="A157" s="299"/>
      <c r="B157" s="299"/>
      <c r="C157" s="299"/>
      <c r="D157" s="299"/>
      <c r="E157" s="299"/>
      <c r="F157" s="299"/>
      <c r="G157" s="299"/>
      <c r="H157" s="299"/>
      <c r="J157" s="299"/>
    </row>
    <row r="158" spans="1:10" x14ac:dyDescent="0.35">
      <c r="A158" s="299"/>
      <c r="B158" s="299"/>
      <c r="C158" s="299"/>
      <c r="D158" s="299"/>
      <c r="E158" s="299"/>
      <c r="F158" s="299"/>
      <c r="G158" s="299"/>
      <c r="H158" s="299"/>
      <c r="J158" s="299"/>
    </row>
    <row r="159" spans="1:10" x14ac:dyDescent="0.35">
      <c r="A159" s="299"/>
      <c r="B159" s="299"/>
      <c r="C159" s="299"/>
      <c r="D159" s="299"/>
      <c r="E159" s="299"/>
      <c r="F159" s="299"/>
      <c r="G159" s="299"/>
      <c r="H159" s="299"/>
      <c r="J159" s="299"/>
    </row>
  </sheetData>
  <sheetProtection algorithmName="SHA-512" hashValue="/zToryrYG92FB2+pyTYf9RqeTqIsaJqf08MTFAWuAUUj614VtS7tU38hd7Ho2FpfPFOr9wwNlFq5hlQ1lDTLxg==" saltValue="8X5HkVQU17BH4LyhSteR9g==" spinCount="100000" sheet="1" formatCells="0" formatColumns="0" formatRows="0" insertColumns="0" insertRows="0" insertHyperlinks="0" deleteColumns="0" deleteRows="0" sort="0" autoFilter="0" pivotTables="0"/>
  <dataConsolidate/>
  <mergeCells count="8">
    <mergeCell ref="B2:F7"/>
    <mergeCell ref="H2:I7"/>
    <mergeCell ref="B112:F112"/>
    <mergeCell ref="B9:I9"/>
    <mergeCell ref="B10:I10"/>
    <mergeCell ref="B41:I41"/>
    <mergeCell ref="B74:I74"/>
    <mergeCell ref="B94:I94"/>
  </mergeCells>
  <conditionalFormatting sqref="I112">
    <cfRule type="cellIs" dxfId="104" priority="2" operator="notEqual">
      <formula>$H$112</formula>
    </cfRule>
  </conditionalFormatting>
  <conditionalFormatting sqref="I113">
    <cfRule type="cellIs" dxfId="103" priority="1" operator="notEqual">
      <formula>$H$113</formula>
    </cfRule>
  </conditionalFormatting>
  <dataValidations xWindow="1541" yWindow="793" count="3">
    <dataValidation type="whole" operator="greaterThan" allowBlank="1" showInputMessage="1" showErrorMessage="1" error="Ingresar un año superior a 2000" sqref="C76:C93 C43:C73 C96:C111 C12:C40">
      <formula1>2000</formula1>
    </dataValidation>
    <dataValidation allowBlank="1" showInputMessage="1" showErrorMessage="1" prompt="Debe ser igual al monto ingresado en columna de monto total facturado." sqref="I112:I113"/>
    <dataValidation allowBlank="1" showInputMessage="1" showErrorMessage="1" prompt="El monto ingresado debe de corresponder con el monto calculado en la columa a la derecha. Si no es el caso, verificar datos ingresados en unidades y montos unitarios o en esta columna." sqref="H96:H111 H76:H93 H43:H73 H12:H40"/>
  </dataValidations>
  <pageMargins left="0.7" right="0.7" top="0.75" bottom="0.75" header="0.3" footer="0.3"/>
  <pageSetup paperSize="9" orientation="portrait" r:id="rId1"/>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8" tint="0.79998168889431442"/>
  </sheetPr>
  <dimension ref="A1:V194"/>
  <sheetViews>
    <sheetView zoomScaleNormal="100" workbookViewId="0">
      <selection activeCell="C171" sqref="C171:C174"/>
    </sheetView>
  </sheetViews>
  <sheetFormatPr defaultColWidth="0" defaultRowHeight="14.5" zeroHeight="1" x14ac:dyDescent="0.35"/>
  <cols>
    <col min="1" max="1" width="11.453125" style="299" customWidth="1"/>
    <col min="2" max="2" width="93.81640625" style="299" customWidth="1"/>
    <col min="3" max="3" width="26" style="299" customWidth="1"/>
    <col min="4" max="4" width="57.26953125" style="299" customWidth="1"/>
    <col min="5" max="5" width="30.453125" style="299" customWidth="1"/>
    <col min="6" max="6" width="19.7265625" style="299" hidden="1" customWidth="1"/>
    <col min="7" max="7" width="48.26953125" style="299" hidden="1" customWidth="1"/>
    <col min="8" max="8" width="19.26953125" style="299" hidden="1" customWidth="1"/>
    <col min="9" max="9" width="37.453125" style="299" hidden="1" customWidth="1"/>
    <col min="10" max="12" width="40.54296875" style="299" hidden="1" customWidth="1"/>
    <col min="13" max="22" width="11.54296875" style="299" hidden="1" customWidth="1"/>
    <col min="23" max="16384" width="11.453125" style="299" hidden="1"/>
  </cols>
  <sheetData>
    <row r="1" spans="1:22" s="301" customFormat="1" ht="15" thickBot="1" x14ac:dyDescent="0.4">
      <c r="A1" s="299"/>
      <c r="B1" s="299"/>
      <c r="C1" s="299"/>
      <c r="D1" s="299"/>
      <c r="E1" s="299"/>
      <c r="M1" s="485"/>
      <c r="N1" s="485"/>
      <c r="O1" s="485"/>
      <c r="P1" s="485"/>
      <c r="Q1" s="485"/>
      <c r="R1" s="485"/>
      <c r="S1" s="485"/>
      <c r="T1" s="485"/>
      <c r="U1" s="485"/>
      <c r="V1" s="485"/>
    </row>
    <row r="2" spans="1:22" s="301" customFormat="1" ht="63" customHeight="1" thickBot="1" x14ac:dyDescent="0.4">
      <c r="A2" s="299"/>
      <c r="B2" s="486" t="str">
        <f>Language!A135</f>
        <v>Indicaciones de uso:
En esta sección se deben de ingresar toda la información requerida en las casillas de color blanco. Adicionalmente, se debe verificar que los parámetros predefinidos corresponden a su caso de estudio.</v>
      </c>
      <c r="C2" s="487"/>
      <c r="D2" s="299"/>
      <c r="E2" s="299"/>
      <c r="M2" s="485"/>
      <c r="N2" s="485"/>
      <c r="O2" s="485"/>
      <c r="P2" s="485"/>
      <c r="Q2" s="485"/>
      <c r="R2" s="485"/>
      <c r="S2" s="485"/>
      <c r="T2" s="485"/>
      <c r="U2" s="485"/>
      <c r="V2" s="485"/>
    </row>
    <row r="3" spans="1:22" s="301" customFormat="1" ht="15" thickBot="1" x14ac:dyDescent="0.4">
      <c r="A3" s="299"/>
      <c r="B3" s="299"/>
      <c r="C3" s="299"/>
      <c r="D3" s="299"/>
      <c r="E3" s="299"/>
      <c r="M3" s="485"/>
      <c r="N3" s="485"/>
      <c r="O3" s="485"/>
      <c r="P3" s="485"/>
      <c r="Q3" s="485"/>
      <c r="R3" s="485"/>
      <c r="S3" s="485"/>
      <c r="T3" s="485"/>
      <c r="U3" s="485"/>
      <c r="V3" s="485"/>
    </row>
    <row r="4" spans="1:22" s="301" customFormat="1" ht="21.5" thickBot="1" x14ac:dyDescent="0.4">
      <c r="A4" s="299"/>
      <c r="B4" s="924" t="str">
        <f>Language!A128</f>
        <v>Ingreso de datos para cálculos de modelización</v>
      </c>
      <c r="C4" s="925"/>
      <c r="D4" s="926"/>
      <c r="E4" s="488"/>
      <c r="F4" s="301" t="s">
        <v>103</v>
      </c>
      <c r="G4" s="301" t="s">
        <v>5</v>
      </c>
      <c r="H4" s="301" t="s">
        <v>1</v>
      </c>
      <c r="I4" s="301" t="s">
        <v>311</v>
      </c>
      <c r="M4" s="485"/>
      <c r="N4" s="485"/>
      <c r="O4" s="485"/>
      <c r="P4" s="485"/>
      <c r="Q4" s="485"/>
      <c r="R4" s="485"/>
      <c r="S4" s="485"/>
      <c r="T4" s="485"/>
      <c r="U4" s="485"/>
      <c r="V4" s="485"/>
    </row>
    <row r="5" spans="1:22" s="301" customFormat="1" ht="29" thickBot="1" x14ac:dyDescent="0.4">
      <c r="A5" s="299"/>
      <c r="B5" s="814" t="str">
        <f>IF('0) Intro'!F9="","",'0) Intro'!F9)</f>
        <v/>
      </c>
      <c r="C5" s="815"/>
      <c r="D5" s="816"/>
      <c r="E5" s="489"/>
      <c r="I5" s="301" t="s">
        <v>100</v>
      </c>
      <c r="K5" s="301" t="s">
        <v>555</v>
      </c>
      <c r="L5" s="301" t="s">
        <v>562</v>
      </c>
      <c r="M5" s="485"/>
      <c r="N5" s="485"/>
      <c r="O5" s="485"/>
      <c r="P5" s="485"/>
      <c r="Q5" s="485"/>
      <c r="R5" s="485"/>
      <c r="S5" s="485"/>
      <c r="T5" s="485"/>
      <c r="U5" s="485"/>
      <c r="V5" s="485"/>
    </row>
    <row r="6" spans="1:22" s="301" customFormat="1" ht="15" thickBot="1" x14ac:dyDescent="0.4">
      <c r="A6" s="299"/>
      <c r="B6" s="490"/>
      <c r="C6" s="491"/>
      <c r="D6" s="492"/>
      <c r="E6" s="299"/>
      <c r="I6" s="301" t="s">
        <v>101</v>
      </c>
      <c r="K6" s="301" t="s">
        <v>554</v>
      </c>
      <c r="L6" s="301" t="s">
        <v>561</v>
      </c>
      <c r="M6" s="485"/>
      <c r="N6" s="485"/>
      <c r="O6" s="485"/>
      <c r="P6" s="485"/>
      <c r="Q6" s="485"/>
      <c r="R6" s="485"/>
      <c r="S6" s="485"/>
      <c r="T6" s="485"/>
      <c r="U6" s="485"/>
      <c r="V6" s="485"/>
    </row>
    <row r="7" spans="1:22" s="301" customFormat="1" x14ac:dyDescent="0.35">
      <c r="A7" s="299"/>
      <c r="B7" s="493" t="str">
        <f>Language!A136</f>
        <v>A) Información general</v>
      </c>
      <c r="C7" s="494"/>
      <c r="D7" s="495"/>
      <c r="E7" s="299"/>
      <c r="L7" s="301" t="s">
        <v>563</v>
      </c>
      <c r="M7" s="485"/>
      <c r="N7" s="485"/>
      <c r="O7" s="485"/>
      <c r="P7" s="485"/>
      <c r="Q7" s="485"/>
      <c r="R7" s="485"/>
      <c r="S7" s="485"/>
      <c r="T7" s="485"/>
      <c r="U7" s="485"/>
      <c r="V7" s="485"/>
    </row>
    <row r="8" spans="1:22" s="301" customFormat="1" x14ac:dyDescent="0.35">
      <c r="A8" s="299"/>
      <c r="B8" s="496"/>
      <c r="C8" s="358"/>
      <c r="D8" s="497" t="str">
        <f>Language!A137</f>
        <v>Indicación</v>
      </c>
      <c r="E8" s="299"/>
      <c r="M8" s="485"/>
      <c r="N8" s="485"/>
      <c r="O8" s="485"/>
      <c r="P8" s="485"/>
      <c r="Q8" s="485"/>
      <c r="R8" s="485"/>
      <c r="S8" s="485"/>
      <c r="T8" s="485"/>
      <c r="U8" s="485"/>
      <c r="V8" s="485"/>
    </row>
    <row r="9" spans="1:22" s="301" customFormat="1" x14ac:dyDescent="0.35">
      <c r="A9" s="299"/>
      <c r="B9" s="498" t="str">
        <f>Language!A138</f>
        <v>Población total</v>
      </c>
      <c r="C9" s="8"/>
      <c r="D9" s="499" t="s">
        <v>215</v>
      </c>
      <c r="E9" s="299"/>
      <c r="I9" s="301" t="s">
        <v>958</v>
      </c>
      <c r="J9" s="301">
        <v>3</v>
      </c>
      <c r="M9" s="485"/>
      <c r="N9" s="485"/>
      <c r="O9" s="485"/>
      <c r="P9" s="485"/>
      <c r="Q9" s="485"/>
      <c r="R9" s="485"/>
      <c r="S9" s="485"/>
      <c r="T9" s="485"/>
      <c r="U9" s="485"/>
      <c r="V9" s="485"/>
    </row>
    <row r="10" spans="1:22" s="301" customFormat="1" x14ac:dyDescent="0.35">
      <c r="A10" s="299"/>
      <c r="B10" s="498" t="str">
        <f>Language!A139</f>
        <v>Numero promedio de personas por vivienda</v>
      </c>
      <c r="C10" s="8"/>
      <c r="D10" s="499"/>
      <c r="E10" s="299"/>
      <c r="I10" s="301" t="s">
        <v>959</v>
      </c>
      <c r="J10" s="301">
        <v>5</v>
      </c>
      <c r="M10" s="485"/>
      <c r="N10" s="485"/>
      <c r="O10" s="485"/>
      <c r="P10" s="485"/>
      <c r="Q10" s="485"/>
      <c r="R10" s="485"/>
      <c r="S10" s="485"/>
      <c r="T10" s="485"/>
      <c r="U10" s="485"/>
      <c r="V10" s="485"/>
    </row>
    <row r="11" spans="1:22" s="301" customFormat="1" x14ac:dyDescent="0.35">
      <c r="A11" s="299"/>
      <c r="B11" s="498" t="str">
        <f>Language!A140</f>
        <v>Cobertura del servicio [%]</v>
      </c>
      <c r="C11" s="11"/>
      <c r="D11" s="500" t="str">
        <f>Language!A141</f>
        <v>% de la población servida por el servicio de recolección</v>
      </c>
      <c r="E11" s="501"/>
      <c r="F11" s="502"/>
      <c r="I11" s="301" t="s">
        <v>960</v>
      </c>
      <c r="J11" s="301">
        <v>4</v>
      </c>
      <c r="M11" s="485"/>
      <c r="N11" s="485"/>
      <c r="O11" s="485"/>
      <c r="P11" s="485"/>
      <c r="Q11" s="485"/>
      <c r="R11" s="485"/>
      <c r="S11" s="485"/>
      <c r="T11" s="485"/>
      <c r="U11" s="485"/>
      <c r="V11" s="485"/>
    </row>
    <row r="12" spans="1:22" s="301" customFormat="1" x14ac:dyDescent="0.35">
      <c r="A12" s="299"/>
      <c r="B12" s="498"/>
      <c r="C12" s="503"/>
      <c r="D12" s="499"/>
      <c r="E12" s="299"/>
      <c r="I12" s="301" t="s">
        <v>961</v>
      </c>
      <c r="J12" s="301">
        <v>4</v>
      </c>
      <c r="M12" s="485"/>
      <c r="N12" s="485"/>
      <c r="O12" s="485"/>
      <c r="P12" s="485"/>
      <c r="Q12" s="485"/>
      <c r="R12" s="485"/>
      <c r="S12" s="485"/>
      <c r="T12" s="485"/>
      <c r="U12" s="485"/>
      <c r="V12" s="485"/>
    </row>
    <row r="13" spans="1:22" s="301" customFormat="1" x14ac:dyDescent="0.35">
      <c r="A13" s="299"/>
      <c r="B13" s="498" t="str">
        <f>Language!A142</f>
        <v>Generación de residuos sólidos por día y por persona [kg/hab*día]</v>
      </c>
      <c r="C13" s="8"/>
      <c r="D13" s="499" t="s">
        <v>216</v>
      </c>
      <c r="E13" s="299"/>
      <c r="I13" s="301" t="s">
        <v>962</v>
      </c>
      <c r="J13" s="301">
        <v>12</v>
      </c>
      <c r="M13" s="485"/>
      <c r="N13" s="485"/>
      <c r="O13" s="485"/>
      <c r="P13" s="485"/>
      <c r="Q13" s="485"/>
      <c r="R13" s="485"/>
      <c r="S13" s="485"/>
      <c r="T13" s="485"/>
      <c r="U13" s="485"/>
      <c r="V13" s="485"/>
    </row>
    <row r="14" spans="1:22" s="301" customFormat="1" x14ac:dyDescent="0.35">
      <c r="A14" s="299"/>
      <c r="B14" s="498" t="str">
        <f>Language!A143</f>
        <v>Días de generación [días/semana]</v>
      </c>
      <c r="C14" s="48">
        <v>7</v>
      </c>
      <c r="D14" s="499" t="s">
        <v>152</v>
      </c>
      <c r="E14" s="299"/>
      <c r="I14" s="301" t="s">
        <v>963</v>
      </c>
      <c r="J14" s="301">
        <v>15</v>
      </c>
      <c r="M14" s="485"/>
      <c r="N14" s="485"/>
      <c r="O14" s="485"/>
      <c r="P14" s="485"/>
      <c r="Q14" s="485"/>
      <c r="R14" s="485"/>
      <c r="S14" s="485"/>
      <c r="T14" s="485"/>
      <c r="U14" s="485"/>
      <c r="V14" s="485"/>
    </row>
    <row r="15" spans="1:22" s="301" customFormat="1" ht="43.5" x14ac:dyDescent="0.35">
      <c r="A15" s="299"/>
      <c r="B15" s="504" t="str">
        <f>Language!A145</f>
        <v>% de residuos sólidos no domiciliares generados en relación a la generación total [%]</v>
      </c>
      <c r="C15" s="17">
        <v>0.3</v>
      </c>
      <c r="D15" s="505" t="str">
        <f>Language!A146</f>
        <v>Por ejemplo: si la generación total es 1.000 kg /día y la generación no domiciliar es 300 kg/día, aquí se indica 30%. Por defecto = 30% como en la herramienta "Waste Flow Diagram".</v>
      </c>
      <c r="E15" s="506"/>
      <c r="F15" s="397"/>
      <c r="G15" s="397" t="s">
        <v>118</v>
      </c>
      <c r="I15" s="301" t="s">
        <v>964</v>
      </c>
      <c r="M15" s="485"/>
      <c r="N15" s="485"/>
      <c r="O15" s="485"/>
      <c r="P15" s="485"/>
      <c r="Q15" s="485"/>
      <c r="R15" s="485"/>
      <c r="S15" s="485"/>
      <c r="T15" s="485"/>
      <c r="U15" s="485"/>
      <c r="V15" s="485"/>
    </row>
    <row r="16" spans="1:22" s="301" customFormat="1" ht="101.5" x14ac:dyDescent="0.35">
      <c r="A16" s="299"/>
      <c r="B16" s="498" t="str">
        <f>Language!A147</f>
        <v>Densidad de carretera [km/km2]</v>
      </c>
      <c r="C16" s="49"/>
      <c r="D16" s="505" t="str">
        <f>Language!A148</f>
        <v>Valores indicativos:
Nivel 1: 15km/km2
Nivel 2: 4 km/km2
Nivel 3: 1 km/km2
Nivel 4: 0.2 km/km2
Se puede calcular con la longitud total de carretera por superficie considerada</v>
      </c>
      <c r="E16" s="506"/>
      <c r="F16" s="397"/>
      <c r="G16" s="397"/>
      <c r="M16" s="485"/>
      <c r="N16" s="485"/>
      <c r="O16" s="485"/>
      <c r="P16" s="485"/>
      <c r="Q16" s="485"/>
      <c r="R16" s="485"/>
      <c r="S16" s="485"/>
      <c r="T16" s="485"/>
      <c r="U16" s="485"/>
      <c r="V16" s="485"/>
    </row>
    <row r="17" spans="1:22" s="301" customFormat="1" ht="29" x14ac:dyDescent="0.35">
      <c r="A17" s="299"/>
      <c r="B17" s="504" t="str">
        <f>Language!A149</f>
        <v>Superficie de zona considerada en hectáreas [hectáreas]</v>
      </c>
      <c r="C17" s="8"/>
      <c r="D17" s="505" t="str">
        <f>Language!A150</f>
        <v>Ingresar la superficie total de la ciudad - donde la población ingresada anteriormente vive</v>
      </c>
      <c r="E17" s="506"/>
      <c r="F17" s="397"/>
      <c r="G17" s="397"/>
      <c r="M17" s="485"/>
      <c r="N17" s="485"/>
      <c r="O17" s="485"/>
      <c r="P17" s="485"/>
      <c r="Q17" s="485"/>
      <c r="R17" s="485"/>
      <c r="S17" s="485"/>
      <c r="T17" s="485"/>
      <c r="U17" s="485"/>
      <c r="V17" s="485"/>
    </row>
    <row r="18" spans="1:22" s="301" customFormat="1" ht="15" thickBot="1" x14ac:dyDescent="0.4">
      <c r="A18" s="299"/>
      <c r="B18" s="507" t="str">
        <f>Language!A151</f>
        <v>Superficie de zona considerada [km2]</v>
      </c>
      <c r="C18" s="508">
        <f>C17/100</f>
        <v>0</v>
      </c>
      <c r="D18" s="509" t="str">
        <f>Language!A152</f>
        <v>1 hectárea = 0.01 km2</v>
      </c>
      <c r="E18" s="506"/>
      <c r="F18" s="397"/>
      <c r="M18" s="485"/>
      <c r="N18" s="485"/>
      <c r="O18" s="485"/>
      <c r="P18" s="485"/>
      <c r="Q18" s="485"/>
      <c r="R18" s="485"/>
      <c r="S18" s="485"/>
      <c r="T18" s="485"/>
      <c r="U18" s="485"/>
      <c r="V18" s="485"/>
    </row>
    <row r="19" spans="1:22" s="301" customFormat="1" ht="15" thickBot="1" x14ac:dyDescent="0.4">
      <c r="A19" s="299"/>
      <c r="B19" s="510"/>
      <c r="C19" s="511"/>
      <c r="D19" s="512"/>
      <c r="E19" s="506"/>
      <c r="F19" s="397"/>
      <c r="M19" s="485"/>
      <c r="N19" s="485"/>
      <c r="O19" s="485"/>
      <c r="P19" s="485"/>
      <c r="Q19" s="485"/>
      <c r="R19" s="485"/>
      <c r="S19" s="485"/>
      <c r="T19" s="485"/>
      <c r="U19" s="485"/>
      <c r="V19" s="485"/>
    </row>
    <row r="20" spans="1:22" s="301" customFormat="1" ht="29" x14ac:dyDescent="0.35">
      <c r="A20" s="299"/>
      <c r="B20" s="513" t="str">
        <f>Language!A153</f>
        <v>B) Características de los residuos sólidos</v>
      </c>
      <c r="C20" s="494"/>
      <c r="D20" s="514" t="str">
        <f>Language!A154</f>
        <v>Si no se conocen los datos locales, utilizar valores de literatura los más representativos del contexto</v>
      </c>
      <c r="E20" s="506"/>
      <c r="F20" s="397"/>
      <c r="M20" s="485"/>
      <c r="N20" s="485"/>
      <c r="O20" s="485"/>
      <c r="P20" s="485"/>
      <c r="Q20" s="485"/>
      <c r="R20" s="485"/>
      <c r="S20" s="485"/>
      <c r="T20" s="485"/>
      <c r="U20" s="485"/>
      <c r="V20" s="485"/>
    </row>
    <row r="21" spans="1:22" s="301" customFormat="1" x14ac:dyDescent="0.35">
      <c r="A21" s="299"/>
      <c r="B21" s="498" t="str">
        <f>Language!A155</f>
        <v>Fracción orgánica por peso [%]</v>
      </c>
      <c r="C21" s="31"/>
      <c r="D21" s="500" t="str">
        <f>Language!A160</f>
        <v>Tomar en cuenta que es definido por % PESO</v>
      </c>
      <c r="E21" s="501"/>
      <c r="F21" s="502"/>
      <c r="M21" s="485"/>
      <c r="N21" s="485"/>
      <c r="O21" s="485"/>
      <c r="P21" s="485"/>
      <c r="Q21" s="485"/>
      <c r="R21" s="485"/>
      <c r="S21" s="485"/>
      <c r="T21" s="485"/>
      <c r="U21" s="485"/>
      <c r="V21" s="485"/>
    </row>
    <row r="22" spans="1:22" s="301" customFormat="1" x14ac:dyDescent="0.35">
      <c r="A22" s="299"/>
      <c r="B22" s="498" t="str">
        <f>Language!A156</f>
        <v>Papel y cartón por peso [%]</v>
      </c>
      <c r="C22" s="31"/>
      <c r="D22" s="500"/>
      <c r="E22" s="501"/>
      <c r="F22" s="502"/>
      <c r="M22" s="485"/>
      <c r="N22" s="485"/>
      <c r="O22" s="485"/>
      <c r="P22" s="485"/>
      <c r="Q22" s="485"/>
      <c r="R22" s="485"/>
      <c r="S22" s="485"/>
      <c r="T22" s="485"/>
      <c r="U22" s="485"/>
      <c r="V22" s="485"/>
    </row>
    <row r="23" spans="1:22" s="301" customFormat="1" x14ac:dyDescent="0.35">
      <c r="A23" s="299"/>
      <c r="B23" s="498" t="str">
        <f>Language!A157</f>
        <v>Metales por peso [%]</v>
      </c>
      <c r="C23" s="31"/>
      <c r="D23" s="500"/>
      <c r="E23" s="501"/>
      <c r="F23" s="502"/>
      <c r="M23" s="485"/>
      <c r="N23" s="485"/>
      <c r="O23" s="485"/>
      <c r="P23" s="485"/>
      <c r="Q23" s="485"/>
      <c r="R23" s="485"/>
      <c r="S23" s="485"/>
      <c r="T23" s="485"/>
      <c r="U23" s="485"/>
      <c r="V23" s="485"/>
    </row>
    <row r="24" spans="1:22" s="301" customFormat="1" x14ac:dyDescent="0.35">
      <c r="A24" s="299"/>
      <c r="B24" s="498" t="str">
        <f>Language!A158</f>
        <v>Plásticos por peso [%]</v>
      </c>
      <c r="C24" s="31"/>
      <c r="D24" s="500"/>
      <c r="E24" s="501"/>
      <c r="F24" s="502"/>
      <c r="G24" s="515"/>
      <c r="M24" s="485"/>
      <c r="N24" s="485"/>
      <c r="O24" s="485"/>
      <c r="P24" s="485"/>
      <c r="Q24" s="485"/>
      <c r="R24" s="485"/>
      <c r="S24" s="485"/>
      <c r="T24" s="485"/>
      <c r="U24" s="485"/>
      <c r="V24" s="485"/>
    </row>
    <row r="25" spans="1:22" s="301" customFormat="1" x14ac:dyDescent="0.35">
      <c r="A25" s="299"/>
      <c r="B25" s="498" t="str">
        <f>Language!A159</f>
        <v>Vidrios por peso [%]</v>
      </c>
      <c r="C25" s="31"/>
      <c r="D25" s="500"/>
      <c r="E25" s="501"/>
      <c r="F25" s="502"/>
      <c r="G25" s="516"/>
      <c r="M25" s="485"/>
      <c r="N25" s="485"/>
      <c r="O25" s="485"/>
      <c r="P25" s="485"/>
      <c r="Q25" s="485"/>
      <c r="R25" s="485"/>
      <c r="S25" s="485"/>
      <c r="T25" s="485"/>
      <c r="U25" s="485"/>
      <c r="V25" s="485"/>
    </row>
    <row r="26" spans="1:22" s="301" customFormat="1" ht="29" x14ac:dyDescent="0.35">
      <c r="A26" s="299"/>
      <c r="B26" s="498" t="str">
        <f>Language!A161</f>
        <v>Otros &amp; desechos por peso [%]</v>
      </c>
      <c r="C26" s="517">
        <f>100%-SUM(C21:C25)</f>
        <v>1</v>
      </c>
      <c r="D26" s="518" t="str">
        <f>Language!A171</f>
        <v>Incluye todas las categorías no especificadas anteriormente, según norma NB 743</v>
      </c>
      <c r="E26" s="394"/>
      <c r="F26" s="519"/>
      <c r="G26" s="519"/>
      <c r="M26" s="485"/>
      <c r="N26" s="485"/>
      <c r="O26" s="485"/>
      <c r="P26" s="485"/>
      <c r="Q26" s="485"/>
      <c r="R26" s="485"/>
      <c r="S26" s="485"/>
      <c r="T26" s="485"/>
      <c r="U26" s="485"/>
      <c r="V26" s="485"/>
    </row>
    <row r="27" spans="1:22" s="301" customFormat="1" x14ac:dyDescent="0.35">
      <c r="A27" s="299"/>
      <c r="B27" s="498" t="str">
        <f>Language!A162</f>
        <v>Densidad de residuos sólidos mixtos sueltos [kg/m3]</v>
      </c>
      <c r="C27" s="13">
        <v>161</v>
      </c>
      <c r="D27" s="518" t="str">
        <f>Language!A172</f>
        <v>Por defecto = 161</v>
      </c>
      <c r="E27" s="299"/>
      <c r="M27" s="485"/>
      <c r="N27" s="485"/>
      <c r="O27" s="485"/>
      <c r="P27" s="485"/>
      <c r="Q27" s="485"/>
      <c r="R27" s="485"/>
      <c r="S27" s="485"/>
      <c r="T27" s="485"/>
      <c r="U27" s="485"/>
      <c r="V27" s="485"/>
    </row>
    <row r="28" spans="1:22" s="301" customFormat="1" x14ac:dyDescent="0.35">
      <c r="A28" s="299"/>
      <c r="B28" s="498" t="str">
        <f>Language!A163</f>
        <v>Densidad de RS mixtos en vehículo de transferencia [kg/m3]</v>
      </c>
      <c r="C28" s="520">
        <f>C27*C42</f>
        <v>0</v>
      </c>
      <c r="D28" s="499"/>
      <c r="E28" s="299"/>
      <c r="M28" s="485"/>
      <c r="N28" s="485"/>
      <c r="O28" s="485"/>
      <c r="P28" s="485"/>
      <c r="Q28" s="485"/>
      <c r="R28" s="485"/>
      <c r="S28" s="485"/>
      <c r="T28" s="485"/>
      <c r="U28" s="485"/>
      <c r="V28" s="485"/>
    </row>
    <row r="29" spans="1:22" s="301" customFormat="1" x14ac:dyDescent="0.35">
      <c r="A29" s="299"/>
      <c r="B29" s="498" t="str">
        <f>Language!A164</f>
        <v>Densidad de RS orgánicos [kg/m3]</v>
      </c>
      <c r="C29" s="13">
        <v>300</v>
      </c>
      <c r="D29" s="499" t="str">
        <f>Language!A173</f>
        <v>Por defecto = 300</v>
      </c>
      <c r="E29" s="299"/>
      <c r="M29" s="485"/>
      <c r="N29" s="485"/>
      <c r="O29" s="485"/>
      <c r="P29" s="485"/>
      <c r="Q29" s="485"/>
      <c r="R29" s="485"/>
      <c r="S29" s="485"/>
      <c r="T29" s="485"/>
      <c r="U29" s="485"/>
      <c r="V29" s="485"/>
    </row>
    <row r="30" spans="1:22" s="301" customFormat="1" x14ac:dyDescent="0.35">
      <c r="A30" s="299"/>
      <c r="B30" s="498" t="str">
        <f>Language!A165</f>
        <v>Densidad de RS reciclables mesclados (papel, cartón, metales, plásticos, vidrios) [kg/m3]</v>
      </c>
      <c r="C30" s="521" t="str">
        <f>IFERROR(1/((C22/C31+C23/C32+C24/C33+C25/C34)/SUM(C22:C25)),"")</f>
        <v/>
      </c>
      <c r="D30" s="499"/>
      <c r="E30" s="299"/>
      <c r="M30" s="485"/>
      <c r="N30" s="485"/>
      <c r="O30" s="485"/>
      <c r="P30" s="485"/>
      <c r="Q30" s="485"/>
      <c r="R30" s="485"/>
      <c r="S30" s="485"/>
      <c r="T30" s="485"/>
      <c r="U30" s="485"/>
      <c r="V30" s="485"/>
    </row>
    <row r="31" spans="1:22" s="301" customFormat="1" x14ac:dyDescent="0.35">
      <c r="A31" s="299"/>
      <c r="B31" s="498" t="str">
        <f>Language!A166</f>
        <v>Densidad de RS papel y cartón [kg/m3]</v>
      </c>
      <c r="C31" s="13">
        <v>200</v>
      </c>
      <c r="D31" s="499" t="str">
        <f>Language!A174</f>
        <v>Por defecto = 200</v>
      </c>
      <c r="E31" s="299"/>
      <c r="M31" s="485"/>
      <c r="N31" s="485"/>
      <c r="O31" s="485"/>
      <c r="P31" s="485"/>
      <c r="Q31" s="485"/>
      <c r="R31" s="485"/>
      <c r="S31" s="485"/>
      <c r="T31" s="485"/>
      <c r="U31" s="485"/>
      <c r="V31" s="485"/>
    </row>
    <row r="32" spans="1:22" s="301" customFormat="1" x14ac:dyDescent="0.35">
      <c r="A32" s="299"/>
      <c r="B32" s="498" t="str">
        <f>Language!A167</f>
        <v>Densidad de RS metales [kg/m3]</v>
      </c>
      <c r="C32" s="13">
        <v>1200</v>
      </c>
      <c r="D32" s="499" t="str">
        <f>Language!A175</f>
        <v>Por defecto = 1200</v>
      </c>
      <c r="E32" s="299"/>
      <c r="M32" s="485"/>
      <c r="N32" s="485"/>
      <c r="O32" s="485"/>
      <c r="P32" s="485"/>
      <c r="Q32" s="485"/>
      <c r="R32" s="485"/>
      <c r="S32" s="485"/>
      <c r="T32" s="485"/>
      <c r="U32" s="485"/>
      <c r="V32" s="485"/>
    </row>
    <row r="33" spans="1:22" s="301" customFormat="1" x14ac:dyDescent="0.35">
      <c r="A33" s="299"/>
      <c r="B33" s="498" t="str">
        <f>Language!A168</f>
        <v>Densidad de RS plásticos [kg/m3]</v>
      </c>
      <c r="C33" s="13">
        <v>50</v>
      </c>
      <c r="D33" s="499" t="str">
        <f>Language!A176</f>
        <v>Por defecto = 50</v>
      </c>
      <c r="E33" s="299"/>
      <c r="M33" s="485"/>
      <c r="N33" s="485"/>
      <c r="O33" s="485"/>
      <c r="P33" s="485"/>
      <c r="Q33" s="485"/>
      <c r="R33" s="485"/>
      <c r="S33" s="485"/>
      <c r="T33" s="485"/>
      <c r="U33" s="485"/>
      <c r="V33" s="485"/>
    </row>
    <row r="34" spans="1:22" s="301" customFormat="1" x14ac:dyDescent="0.35">
      <c r="A34" s="299"/>
      <c r="B34" s="498" t="str">
        <f>Language!A169</f>
        <v>Densidad de RS vidrios [kg/m3]</v>
      </c>
      <c r="C34" s="13">
        <v>800</v>
      </c>
      <c r="D34" s="499" t="str">
        <f>Language!A177</f>
        <v>Por defecto = 800</v>
      </c>
      <c r="E34" s="299"/>
      <c r="M34" s="485"/>
      <c r="N34" s="485"/>
      <c r="O34" s="485"/>
      <c r="P34" s="485"/>
      <c r="Q34" s="485"/>
      <c r="R34" s="485"/>
      <c r="S34" s="485"/>
      <c r="T34" s="485"/>
      <c r="U34" s="485"/>
      <c r="V34" s="485"/>
    </row>
    <row r="35" spans="1:22" s="301" customFormat="1" x14ac:dyDescent="0.35">
      <c r="A35" s="299"/>
      <c r="B35" s="498" t="str">
        <f>Language!A170</f>
        <v>Densidad de RS otros &amp; desechos [kg/m3]</v>
      </c>
      <c r="C35" s="13">
        <f>C27</f>
        <v>161</v>
      </c>
      <c r="D35" s="499" t="str">
        <f>Language!A178</f>
        <v>Por defecto, igual a RS mixtos sueltos</v>
      </c>
      <c r="E35" s="299"/>
      <c r="M35" s="485"/>
      <c r="N35" s="485"/>
      <c r="O35" s="485"/>
      <c r="P35" s="485"/>
      <c r="Q35" s="485"/>
      <c r="R35" s="485"/>
      <c r="S35" s="485"/>
      <c r="T35" s="485"/>
      <c r="U35" s="485"/>
      <c r="V35" s="485"/>
    </row>
    <row r="36" spans="1:22" s="301" customFormat="1" ht="15" thickBot="1" x14ac:dyDescent="0.4">
      <c r="A36" s="299"/>
      <c r="B36" s="510"/>
      <c r="C36" s="511"/>
      <c r="D36" s="522"/>
      <c r="E36" s="394"/>
      <c r="F36" s="519"/>
      <c r="M36" s="485"/>
      <c r="N36" s="485"/>
      <c r="O36" s="485"/>
      <c r="P36" s="485"/>
      <c r="Q36" s="485"/>
      <c r="R36" s="485"/>
      <c r="S36" s="485"/>
      <c r="T36" s="485"/>
      <c r="U36" s="485"/>
      <c r="V36" s="485"/>
    </row>
    <row r="37" spans="1:22" s="301" customFormat="1" x14ac:dyDescent="0.35">
      <c r="A37" s="299"/>
      <c r="B37" s="493" t="str">
        <f>Language!A179</f>
        <v>C) Vehículos de recolección y de transferencia</v>
      </c>
      <c r="C37" s="494"/>
      <c r="D37" s="523"/>
      <c r="E37" s="299"/>
      <c r="M37" s="485"/>
      <c r="N37" s="485"/>
      <c r="O37" s="485"/>
      <c r="P37" s="485"/>
      <c r="Q37" s="485"/>
      <c r="R37" s="485"/>
      <c r="S37" s="485"/>
      <c r="T37" s="485"/>
      <c r="U37" s="485"/>
      <c r="V37" s="485"/>
    </row>
    <row r="38" spans="1:22" s="301" customFormat="1" x14ac:dyDescent="0.35">
      <c r="A38" s="299"/>
      <c r="B38" s="498" t="str">
        <f>Language!A180</f>
        <v>Volumen de vehículo de recolección segundaria [m3]</v>
      </c>
      <c r="C38" s="8"/>
      <c r="D38" s="524" t="str">
        <f>Language!A192</f>
        <v>Vehículos utilizados para la recolección. Volumen de 1 vehículo.</v>
      </c>
      <c r="E38" s="506"/>
      <c r="M38" s="485"/>
      <c r="N38" s="485"/>
      <c r="O38" s="485"/>
      <c r="P38" s="485"/>
      <c r="Q38" s="485"/>
      <c r="R38" s="485"/>
      <c r="S38" s="485"/>
      <c r="T38" s="485"/>
      <c r="U38" s="485"/>
      <c r="V38" s="485"/>
    </row>
    <row r="39" spans="1:22" s="301" customFormat="1" ht="29" x14ac:dyDescent="0.35">
      <c r="A39" s="299"/>
      <c r="B39" s="498" t="str">
        <f>Language!A181</f>
        <v>Grado de compactación vehículo de recolección []</v>
      </c>
      <c r="C39" s="8"/>
      <c r="D39" s="524" t="str">
        <f>Language!A193</f>
        <v>Si es un compactador la tasa es &gt;2, para un camión sin compactación la tasa indicativa es 1.2-1.5</v>
      </c>
      <c r="E39" s="299"/>
      <c r="M39" s="485"/>
      <c r="N39" s="485"/>
      <c r="O39" s="485"/>
      <c r="P39" s="485"/>
      <c r="Q39" s="485"/>
      <c r="R39" s="485"/>
      <c r="S39" s="485"/>
      <c r="T39" s="485"/>
      <c r="U39" s="485"/>
      <c r="V39" s="485"/>
    </row>
    <row r="40" spans="1:22" s="301" customFormat="1" x14ac:dyDescent="0.35">
      <c r="A40" s="299"/>
      <c r="B40" s="498" t="str">
        <f>Language!A182</f>
        <v>Grado de compactación vehículo de recolección para materia orgánica []</v>
      </c>
      <c r="C40" s="13">
        <v>1.1000000000000001</v>
      </c>
      <c r="D40" s="524" t="str">
        <f>Language!A194</f>
        <v>Por defecto = 1.1</v>
      </c>
      <c r="E40" s="299"/>
      <c r="G40" s="397"/>
      <c r="M40" s="485"/>
      <c r="N40" s="485"/>
      <c r="O40" s="485"/>
      <c r="P40" s="485"/>
      <c r="Q40" s="485"/>
      <c r="R40" s="485"/>
      <c r="S40" s="485"/>
      <c r="T40" s="485"/>
      <c r="U40" s="485"/>
      <c r="V40" s="485"/>
    </row>
    <row r="41" spans="1:22" s="301" customFormat="1" ht="29" x14ac:dyDescent="0.35">
      <c r="A41" s="299"/>
      <c r="B41" s="498" t="str">
        <f>Language!A183</f>
        <v>Volumen de vehículo de transferencia [m3]</v>
      </c>
      <c r="C41" s="8"/>
      <c r="D41" s="524" t="str">
        <f>Language!A195</f>
        <v>Vehículos utilizados de la estación de transferencia hacia la disposición final</v>
      </c>
      <c r="E41" s="506"/>
      <c r="F41" s="397"/>
      <c r="M41" s="485"/>
      <c r="N41" s="485"/>
      <c r="O41" s="485"/>
      <c r="P41" s="485"/>
      <c r="Q41" s="485"/>
      <c r="R41" s="485"/>
      <c r="S41" s="485"/>
      <c r="T41" s="485"/>
      <c r="U41" s="485"/>
      <c r="V41" s="485"/>
    </row>
    <row r="42" spans="1:22" s="301" customFormat="1" x14ac:dyDescent="0.35">
      <c r="A42" s="299"/>
      <c r="B42" s="498" t="str">
        <f>Language!A184</f>
        <v>Grado de compactación vehículo de transferencia []</v>
      </c>
      <c r="C42" s="13">
        <f>tasacompactacionrecoleccion*0.8</f>
        <v>0</v>
      </c>
      <c r="D42" s="524" t="str">
        <f>Language!A196</f>
        <v>Por defecto, igual a 80% de la tasa de compactación de recolección.</v>
      </c>
      <c r="E42" s="506"/>
      <c r="M42" s="485"/>
      <c r="N42" s="485"/>
      <c r="O42" s="485"/>
      <c r="P42" s="485"/>
      <c r="Q42" s="485"/>
      <c r="R42" s="485"/>
      <c r="S42" s="485"/>
      <c r="T42" s="485"/>
      <c r="U42" s="485"/>
      <c r="V42" s="485"/>
    </row>
    <row r="43" spans="1:22" s="301" customFormat="1" x14ac:dyDescent="0.35">
      <c r="A43" s="299"/>
      <c r="B43" s="498" t="str">
        <f>Language!A185</f>
        <v>Consumo de gasolina/diésel de vehículos de recolección segundaria [L/km]</v>
      </c>
      <c r="C43" s="13">
        <v>0.45</v>
      </c>
      <c r="D43" s="524" t="str">
        <f>Language!A197</f>
        <v>Por defecto = 0.45</v>
      </c>
      <c r="E43" s="299"/>
      <c r="M43" s="485"/>
      <c r="N43" s="485"/>
      <c r="O43" s="485"/>
      <c r="P43" s="485"/>
      <c r="Q43" s="485"/>
      <c r="R43" s="485"/>
      <c r="S43" s="485"/>
      <c r="T43" s="485"/>
      <c r="U43" s="485"/>
      <c r="V43" s="485"/>
    </row>
    <row r="44" spans="1:22" s="301" customFormat="1" x14ac:dyDescent="0.35">
      <c r="A44" s="299"/>
      <c r="B44" s="498" t="str">
        <f>Language!A186</f>
        <v>Consumo de gasolina/diésel de vehículos de transferencia [L/km]</v>
      </c>
      <c r="C44" s="13">
        <v>0.3</v>
      </c>
      <c r="D44" s="524" t="str">
        <f>Language!A198</f>
        <v>Por defecto = 0.3</v>
      </c>
      <c r="E44" s="299"/>
      <c r="M44" s="485"/>
      <c r="N44" s="485"/>
      <c r="O44" s="485"/>
      <c r="P44" s="485"/>
      <c r="Q44" s="485"/>
      <c r="R44" s="485"/>
      <c r="S44" s="485"/>
      <c r="T44" s="485"/>
      <c r="U44" s="485"/>
      <c r="V44" s="485"/>
    </row>
    <row r="45" spans="1:22" s="301" customFormat="1" x14ac:dyDescent="0.35">
      <c r="A45" s="299"/>
      <c r="B45" s="498" t="str">
        <f>Language!A187</f>
        <v>Costo de gasolina/diésel [$$$/L]</v>
      </c>
      <c r="C45" s="8"/>
      <c r="D45" s="524"/>
      <c r="E45" s="299"/>
      <c r="M45" s="485"/>
      <c r="N45" s="485"/>
      <c r="O45" s="485"/>
      <c r="P45" s="485"/>
      <c r="Q45" s="485"/>
      <c r="R45" s="485"/>
      <c r="S45" s="485"/>
      <c r="T45" s="485"/>
      <c r="U45" s="485"/>
      <c r="V45" s="485"/>
    </row>
    <row r="46" spans="1:22" s="301" customFormat="1" x14ac:dyDescent="0.35">
      <c r="A46" s="299"/>
      <c r="B46" s="498" t="str">
        <f>Language!A188</f>
        <v>Costo de seguro por vehículo de recolección y por año [$$$/año]</v>
      </c>
      <c r="C46" s="290">
        <f>1700*Info!C6</f>
        <v>1700</v>
      </c>
      <c r="D46" s="524" t="str">
        <f>Language!A199</f>
        <v>Por defecto = 1'700 USD</v>
      </c>
      <c r="E46" s="299"/>
      <c r="M46" s="485"/>
      <c r="N46" s="485"/>
      <c r="O46" s="485"/>
      <c r="P46" s="485"/>
      <c r="Q46" s="485"/>
      <c r="R46" s="485"/>
      <c r="S46" s="485"/>
      <c r="T46" s="485"/>
      <c r="U46" s="485"/>
      <c r="V46" s="485"/>
    </row>
    <row r="47" spans="1:22" s="301" customFormat="1" ht="72.5" x14ac:dyDescent="0.35">
      <c r="A47" s="299"/>
      <c r="B47" s="498" t="str">
        <f>Language!A189</f>
        <v>Costo de mantenimiento por km vehículos de recolección [$$$/km]</v>
      </c>
      <c r="C47" s="48">
        <f>0.3*Info!C6</f>
        <v>0.3</v>
      </c>
      <c r="D47" s="524" t="str">
        <f>Language!A200</f>
        <v>Por defecto = 0.3 USD</v>
      </c>
      <c r="E47" s="394"/>
      <c r="F47" s="525" t="s">
        <v>540</v>
      </c>
      <c r="G47" s="397" t="s">
        <v>384</v>
      </c>
      <c r="M47" s="485"/>
      <c r="N47" s="485"/>
      <c r="O47" s="485"/>
      <c r="P47" s="485"/>
      <c r="Q47" s="485"/>
      <c r="R47" s="485"/>
      <c r="S47" s="485"/>
      <c r="T47" s="485"/>
      <c r="U47" s="485"/>
      <c r="V47" s="485"/>
    </row>
    <row r="48" spans="1:22" s="301" customFormat="1" x14ac:dyDescent="0.35">
      <c r="A48" s="299"/>
      <c r="B48" s="498" t="str">
        <f>Language!A190</f>
        <v>Costo de seguro por vehículo de transferencia y por año [$$$/año]</v>
      </c>
      <c r="C48" s="48">
        <f>1700*Info!C6</f>
        <v>1700</v>
      </c>
      <c r="D48" s="524" t="str">
        <f>Language!A199</f>
        <v>Por defecto = 1'700 USD</v>
      </c>
      <c r="E48" s="394"/>
      <c r="F48" s="519"/>
      <c r="G48" s="397"/>
      <c r="M48" s="485"/>
      <c r="N48" s="485"/>
      <c r="O48" s="485"/>
      <c r="P48" s="485"/>
      <c r="Q48" s="485"/>
      <c r="R48" s="485"/>
      <c r="S48" s="485"/>
      <c r="T48" s="485"/>
      <c r="U48" s="485"/>
      <c r="V48" s="485"/>
    </row>
    <row r="49" spans="1:22" s="301" customFormat="1" x14ac:dyDescent="0.35">
      <c r="A49" s="299"/>
      <c r="B49" s="498" t="str">
        <f>Language!A191</f>
        <v>Costo de mantenimiento por km camiones de transferencia [$$$/km]</v>
      </c>
      <c r="C49" s="13">
        <f>0.15*Info!C6</f>
        <v>0.15</v>
      </c>
      <c r="D49" s="524" t="str">
        <f>Language!A201</f>
        <v>Por defecto = 0.15 USD</v>
      </c>
      <c r="E49" s="394"/>
      <c r="F49" s="519"/>
      <c r="G49" s="397"/>
      <c r="M49" s="485"/>
      <c r="N49" s="485"/>
      <c r="O49" s="485"/>
      <c r="P49" s="485"/>
      <c r="Q49" s="485"/>
      <c r="R49" s="485"/>
      <c r="S49" s="485"/>
      <c r="T49" s="485"/>
      <c r="U49" s="485"/>
      <c r="V49" s="485"/>
    </row>
    <row r="50" spans="1:22" s="301" customFormat="1" ht="15" thickBot="1" x14ac:dyDescent="0.4">
      <c r="A50" s="299"/>
      <c r="B50" s="526"/>
      <c r="C50" s="527"/>
      <c r="D50" s="528"/>
      <c r="E50" s="394"/>
      <c r="F50" s="519"/>
      <c r="G50" s="397"/>
      <c r="M50" s="485"/>
      <c r="N50" s="485"/>
      <c r="O50" s="485"/>
      <c r="P50" s="485"/>
      <c r="Q50" s="485"/>
      <c r="R50" s="485"/>
      <c r="S50" s="485"/>
      <c r="T50" s="485"/>
      <c r="U50" s="485"/>
      <c r="V50" s="485"/>
    </row>
    <row r="51" spans="1:22" s="301" customFormat="1" x14ac:dyDescent="0.35">
      <c r="A51" s="299"/>
      <c r="B51" s="493" t="str">
        <f>Language!A202</f>
        <v>D) Recolección primaria</v>
      </c>
      <c r="C51" s="494"/>
      <c r="D51" s="523"/>
      <c r="E51" s="394"/>
      <c r="F51" s="519"/>
      <c r="G51" s="397"/>
      <c r="M51" s="485"/>
      <c r="N51" s="485"/>
      <c r="O51" s="485"/>
      <c r="P51" s="485"/>
      <c r="Q51" s="485"/>
      <c r="R51" s="485"/>
      <c r="S51" s="485"/>
      <c r="T51" s="485"/>
      <c r="U51" s="485"/>
      <c r="V51" s="485"/>
    </row>
    <row r="52" spans="1:22" s="301" customFormat="1" ht="43.5" x14ac:dyDescent="0.35">
      <c r="A52" s="299"/>
      <c r="B52" s="504" t="str">
        <f>Language!A203</f>
        <v>¿Se realiza recolección primaria en alguna(s) área(s) consideradas?</v>
      </c>
      <c r="C52" s="12"/>
      <c r="D52" s="529" t="str">
        <f>Language!A223</f>
        <v>La recolección primaria es una recolección de puerta a puerta con vehículos más pequeños que transfieren los residuos sólidos al sistema de recolección segundaria.</v>
      </c>
      <c r="E52" s="530"/>
      <c r="F52" s="519"/>
      <c r="G52" s="397"/>
      <c r="M52" s="485"/>
      <c r="N52" s="485"/>
      <c r="O52" s="485"/>
      <c r="P52" s="485"/>
      <c r="Q52" s="485"/>
      <c r="R52" s="485"/>
      <c r="S52" s="485"/>
      <c r="T52" s="485"/>
      <c r="U52" s="485"/>
      <c r="V52" s="485"/>
    </row>
    <row r="53" spans="1:22" s="301" customFormat="1" x14ac:dyDescent="0.35">
      <c r="A53" s="299"/>
      <c r="B53" s="504" t="str">
        <f>Language!A204</f>
        <v>Tipo de recolección primaria</v>
      </c>
      <c r="C53" s="33"/>
      <c r="D53" s="531"/>
      <c r="E53" s="394"/>
      <c r="F53" s="519"/>
      <c r="G53" s="397"/>
      <c r="M53" s="485"/>
      <c r="N53" s="485"/>
      <c r="O53" s="485"/>
      <c r="P53" s="485"/>
      <c r="Q53" s="485"/>
      <c r="R53" s="485"/>
      <c r="S53" s="485"/>
      <c r="T53" s="485"/>
      <c r="U53" s="485"/>
      <c r="V53" s="485"/>
    </row>
    <row r="54" spans="1:22" s="301" customFormat="1" x14ac:dyDescent="0.35">
      <c r="A54" s="299"/>
      <c r="B54" s="504" t="str">
        <f>Language!A205</f>
        <v>Población total del área con recolección primaria</v>
      </c>
      <c r="C54" s="33"/>
      <c r="D54" s="531"/>
      <c r="E54" s="394"/>
      <c r="F54" s="519"/>
      <c r="G54" s="397"/>
      <c r="M54" s="485"/>
      <c r="N54" s="485"/>
      <c r="O54" s="485"/>
      <c r="P54" s="485"/>
      <c r="Q54" s="485"/>
      <c r="R54" s="485"/>
      <c r="S54" s="485"/>
      <c r="T54" s="485"/>
      <c r="U54" s="485"/>
      <c r="V54" s="485"/>
    </row>
    <row r="55" spans="1:22" s="301" customFormat="1" x14ac:dyDescent="0.35">
      <c r="A55" s="299"/>
      <c r="B55" s="504" t="str">
        <f>Language!A206</f>
        <v>Cobertura [%]</v>
      </c>
      <c r="C55" s="36"/>
      <c r="D55" s="531"/>
      <c r="E55" s="394"/>
      <c r="F55" s="519"/>
      <c r="G55" s="397"/>
      <c r="M55" s="485"/>
      <c r="N55" s="485"/>
      <c r="O55" s="485"/>
      <c r="P55" s="485"/>
      <c r="Q55" s="485"/>
      <c r="R55" s="485"/>
      <c r="S55" s="485"/>
      <c r="T55" s="485"/>
      <c r="U55" s="485"/>
      <c r="V55" s="485"/>
    </row>
    <row r="56" spans="1:22" s="301" customFormat="1" x14ac:dyDescent="0.35">
      <c r="A56" s="299"/>
      <c r="B56" s="504" t="str">
        <f>Language!A207</f>
        <v>Población total recolectada con recolección primaria</v>
      </c>
      <c r="C56" s="520">
        <f>C54*C55</f>
        <v>0</v>
      </c>
      <c r="D56" s="531"/>
      <c r="E56" s="394"/>
      <c r="F56" s="519"/>
      <c r="G56" s="397"/>
      <c r="M56" s="485"/>
      <c r="N56" s="485"/>
      <c r="O56" s="485"/>
      <c r="P56" s="485"/>
      <c r="Q56" s="485"/>
      <c r="R56" s="485"/>
      <c r="S56" s="485"/>
      <c r="T56" s="485"/>
      <c r="U56" s="485"/>
      <c r="V56" s="485"/>
    </row>
    <row r="57" spans="1:22" s="301" customFormat="1" x14ac:dyDescent="0.35">
      <c r="A57" s="299"/>
      <c r="B57" s="504" t="str">
        <f>Language!A208</f>
        <v>Superficie total del área con recolección primaria [km2]</v>
      </c>
      <c r="C57" s="8"/>
      <c r="D57" s="529" t="str">
        <f>Language!A224</f>
        <v>Corresponde al área donde vive la población total considerada</v>
      </c>
      <c r="E57" s="394"/>
      <c r="F57" s="519"/>
      <c r="G57" s="397"/>
      <c r="M57" s="485"/>
      <c r="N57" s="485"/>
      <c r="O57" s="485"/>
      <c r="P57" s="485"/>
      <c r="Q57" s="485"/>
      <c r="R57" s="485"/>
      <c r="S57" s="485"/>
      <c r="T57" s="485"/>
      <c r="U57" s="485"/>
      <c r="V57" s="485"/>
    </row>
    <row r="58" spans="1:22" s="301" customFormat="1" x14ac:dyDescent="0.35">
      <c r="A58" s="299"/>
      <c r="B58" s="504" t="str">
        <f>Language!A209</f>
        <v>Densidad de carreteras [km/km2]</v>
      </c>
      <c r="C58" s="13">
        <f>C16</f>
        <v>0</v>
      </c>
      <c r="D58" s="529" t="str">
        <f>Language!A225</f>
        <v>Por defecto = definido en recolección principal</v>
      </c>
      <c r="E58" s="394"/>
      <c r="F58" s="519"/>
      <c r="G58" s="397"/>
      <c r="M58" s="485"/>
      <c r="N58" s="485"/>
      <c r="O58" s="485"/>
      <c r="P58" s="485"/>
      <c r="Q58" s="485"/>
      <c r="R58" s="485"/>
      <c r="S58" s="485"/>
      <c r="T58" s="485"/>
      <c r="U58" s="485"/>
      <c r="V58" s="485"/>
    </row>
    <row r="59" spans="1:22" s="301" customFormat="1" x14ac:dyDescent="0.35">
      <c r="A59" s="299"/>
      <c r="B59" s="504" t="str">
        <f>Language!A210</f>
        <v>Volumen de vehículos de recolección primaria [m3]</v>
      </c>
      <c r="C59" s="8"/>
      <c r="D59" s="531"/>
      <c r="E59" s="394"/>
      <c r="F59" s="519"/>
      <c r="G59" s="397"/>
      <c r="M59" s="485"/>
      <c r="N59" s="485"/>
      <c r="O59" s="485"/>
      <c r="P59" s="485"/>
      <c r="Q59" s="485"/>
      <c r="R59" s="485"/>
      <c r="S59" s="485"/>
      <c r="T59" s="485"/>
      <c r="U59" s="485"/>
      <c r="V59" s="485"/>
    </row>
    <row r="60" spans="1:22" s="301" customFormat="1" ht="29" x14ac:dyDescent="0.35">
      <c r="A60" s="299"/>
      <c r="B60" s="504" t="str">
        <f>Language!A211</f>
        <v>Costo por km para el vehículo de recolección primaria seleccionado [$$$/km]</v>
      </c>
      <c r="C60" s="13">
        <f>0.6*Info!C6</f>
        <v>0.6</v>
      </c>
      <c r="D60" s="529" t="str">
        <f>Language!A226</f>
        <v>Por defecto = 0.6 USD, incluye combustible, mantenimiento y seguros</v>
      </c>
      <c r="E60" s="394"/>
      <c r="F60" s="519"/>
      <c r="G60" s="397"/>
      <c r="M60" s="485"/>
      <c r="N60" s="485"/>
      <c r="O60" s="485"/>
      <c r="P60" s="485"/>
      <c r="Q60" s="485"/>
      <c r="R60" s="485"/>
      <c r="S60" s="485"/>
      <c r="T60" s="485"/>
      <c r="U60" s="485"/>
      <c r="V60" s="485"/>
    </row>
    <row r="61" spans="1:22" s="301" customFormat="1" x14ac:dyDescent="0.35">
      <c r="A61" s="299"/>
      <c r="B61" s="504" t="str">
        <f>Language!A212</f>
        <v>Grado de compactación []</v>
      </c>
      <c r="C61" s="8"/>
      <c r="D61" s="531"/>
      <c r="E61" s="394"/>
      <c r="F61" s="519"/>
      <c r="G61" s="397"/>
      <c r="M61" s="485"/>
      <c r="N61" s="485"/>
      <c r="O61" s="485"/>
      <c r="P61" s="485"/>
      <c r="Q61" s="485"/>
      <c r="R61" s="485"/>
      <c r="S61" s="485"/>
      <c r="T61" s="485"/>
      <c r="U61" s="485"/>
      <c r="V61" s="485"/>
    </row>
    <row r="62" spans="1:22" s="301" customFormat="1" x14ac:dyDescent="0.35">
      <c r="A62" s="299"/>
      <c r="B62" s="504" t="str">
        <f>Language!A213</f>
        <v>Frecuencia de recolección por semana [#/semana]</v>
      </c>
      <c r="C62" s="8"/>
      <c r="D62" s="531"/>
      <c r="E62" s="394"/>
      <c r="F62" s="519"/>
      <c r="G62" s="397"/>
      <c r="M62" s="485"/>
      <c r="N62" s="485"/>
      <c r="O62" s="485"/>
      <c r="P62" s="485"/>
      <c r="Q62" s="485"/>
      <c r="R62" s="485"/>
      <c r="S62" s="485"/>
      <c r="T62" s="485"/>
      <c r="U62" s="485"/>
      <c r="V62" s="485"/>
    </row>
    <row r="63" spans="1:22" s="301" customFormat="1" x14ac:dyDescent="0.35">
      <c r="A63" s="299"/>
      <c r="B63" s="504" t="str">
        <f>Language!A214</f>
        <v>Cantidad de personal por vehículo de recolección primara</v>
      </c>
      <c r="C63" s="33"/>
      <c r="D63" s="531"/>
      <c r="E63" s="394"/>
      <c r="F63" s="519"/>
      <c r="G63" s="397"/>
      <c r="M63" s="485"/>
      <c r="N63" s="485"/>
      <c r="O63" s="485"/>
      <c r="P63" s="485"/>
      <c r="Q63" s="485"/>
      <c r="R63" s="485"/>
      <c r="S63" s="485"/>
      <c r="T63" s="485"/>
      <c r="U63" s="485"/>
      <c r="V63" s="485"/>
    </row>
    <row r="64" spans="1:22" s="301" customFormat="1" x14ac:dyDescent="0.35">
      <c r="A64" s="299"/>
      <c r="B64" s="504" t="str">
        <f>Language!A215</f>
        <v>Costo de salario, prestaciones, seguros y equipo por persona y por año para recolección primaria [$$$/año]</v>
      </c>
      <c r="C64" s="33"/>
      <c r="D64" s="531"/>
      <c r="E64" s="394"/>
      <c r="F64" s="519"/>
      <c r="G64" s="397"/>
      <c r="M64" s="485"/>
      <c r="N64" s="485"/>
      <c r="O64" s="485"/>
      <c r="P64" s="485"/>
      <c r="Q64" s="485"/>
      <c r="R64" s="485"/>
      <c r="S64" s="485"/>
      <c r="T64" s="485"/>
      <c r="U64" s="485"/>
      <c r="V64" s="485"/>
    </row>
    <row r="65" spans="1:22" s="301" customFormat="1" ht="29" x14ac:dyDescent="0.35">
      <c r="A65" s="299"/>
      <c r="B65" s="504" t="str">
        <f>Language!A216</f>
        <v>Definición de velocidad de recolección [km/h]</v>
      </c>
      <c r="C65" s="8"/>
      <c r="D65" s="529" t="str">
        <f>Language!A227</f>
        <v>Definir manualmente la velocidad de recolección - obligatorio si el tipo de recolección es mixto</v>
      </c>
      <c r="E65" s="394"/>
      <c r="F65" s="519"/>
      <c r="G65" s="397"/>
      <c r="M65" s="485"/>
      <c r="N65" s="485"/>
      <c r="O65" s="485"/>
      <c r="P65" s="485"/>
      <c r="Q65" s="485"/>
      <c r="R65" s="485"/>
      <c r="S65" s="485"/>
      <c r="T65" s="485"/>
      <c r="U65" s="485"/>
      <c r="V65" s="485"/>
    </row>
    <row r="66" spans="1:22" s="301" customFormat="1" x14ac:dyDescent="0.35">
      <c r="A66" s="299"/>
      <c r="B66" s="504" t="str">
        <f>Language!A217</f>
        <v>Velocidad de recolección [km/h]</v>
      </c>
      <c r="C66" s="520">
        <f>IF(C53=Language!A238,IF(C65="","Definir velocidad",C65),IF(C65&lt;&gt;"",C65,IF(C53=Language!A232,J9,IF(C53=Language!A233,J10,IF(C53=Language!A234,J11,IF(C53=Language!A235,J12,IF(C53=Language!A236,J13,IF(C53=Language!A237,J14,))))))))</f>
        <v>0</v>
      </c>
      <c r="D66" s="531"/>
      <c r="E66" s="394"/>
      <c r="F66" s="519"/>
      <c r="G66" s="397"/>
      <c r="M66" s="485"/>
      <c r="N66" s="485"/>
      <c r="O66" s="485"/>
      <c r="P66" s="485"/>
      <c r="Q66" s="485"/>
      <c r="R66" s="485"/>
      <c r="S66" s="485"/>
      <c r="T66" s="485"/>
      <c r="U66" s="485"/>
      <c r="V66" s="485"/>
    </row>
    <row r="67" spans="1:22" s="301" customFormat="1" x14ac:dyDescent="0.35">
      <c r="A67" s="299"/>
      <c r="B67" s="504" t="str">
        <f>Language!A218</f>
        <v>Distancia promedio entre zona de recolección primaria y punto de recolección segundario [km]</v>
      </c>
      <c r="C67" s="13">
        <v>0.2</v>
      </c>
      <c r="D67" s="529" t="str">
        <f>Language!A228</f>
        <v>Por defecto = 200 m</v>
      </c>
      <c r="E67" s="394"/>
      <c r="F67" s="519"/>
      <c r="G67" s="397"/>
      <c r="M67" s="485"/>
      <c r="N67" s="485"/>
      <c r="O67" s="485"/>
      <c r="P67" s="485"/>
      <c r="Q67" s="485"/>
      <c r="R67" s="485"/>
      <c r="S67" s="485"/>
      <c r="T67" s="485"/>
      <c r="U67" s="485"/>
      <c r="V67" s="485"/>
    </row>
    <row r="68" spans="1:22" s="301" customFormat="1" x14ac:dyDescent="0.35">
      <c r="A68" s="299"/>
      <c r="B68" s="504" t="str">
        <f>Language!A219</f>
        <v>Distancia promedio entre el domicilio y zona de recolección primaria [km]</v>
      </c>
      <c r="C68" s="13">
        <v>2</v>
      </c>
      <c r="D68" s="529" t="str">
        <f>Language!A229</f>
        <v>Por defecto = 2 km</v>
      </c>
      <c r="E68" s="394"/>
      <c r="F68" s="519"/>
      <c r="G68" s="397"/>
      <c r="M68" s="485"/>
      <c r="N68" s="485"/>
      <c r="O68" s="485"/>
      <c r="P68" s="485"/>
      <c r="Q68" s="485"/>
      <c r="R68" s="485"/>
      <c r="S68" s="485"/>
      <c r="T68" s="485"/>
      <c r="U68" s="485"/>
      <c r="V68" s="485"/>
    </row>
    <row r="69" spans="1:22" s="301" customFormat="1" x14ac:dyDescent="0.35">
      <c r="A69" s="299"/>
      <c r="B69" s="504" t="str">
        <f>Language!A220</f>
        <v>Tiempo para vaciar contenido en punto de recolección segundario [min]</v>
      </c>
      <c r="C69" s="13">
        <v>3</v>
      </c>
      <c r="D69" s="529" t="str">
        <f>Language!A230</f>
        <v>Por defecto = 3 minutos</v>
      </c>
      <c r="E69" s="394"/>
      <c r="F69" s="519"/>
      <c r="G69" s="397"/>
      <c r="M69" s="485"/>
      <c r="N69" s="485"/>
      <c r="O69" s="485"/>
      <c r="P69" s="485"/>
      <c r="Q69" s="485"/>
      <c r="R69" s="485"/>
      <c r="S69" s="485"/>
      <c r="T69" s="485"/>
      <c r="U69" s="485"/>
      <c r="V69" s="485"/>
    </row>
    <row r="70" spans="1:22" s="301" customFormat="1" x14ac:dyDescent="0.35">
      <c r="A70" s="299"/>
      <c r="B70" s="504" t="str">
        <f>Language!A221</f>
        <v>Costo del tipo de vehículo utilizado [$$$]</v>
      </c>
      <c r="C70" s="46"/>
      <c r="D70" s="531"/>
      <c r="E70" s="394"/>
      <c r="F70" s="519"/>
      <c r="G70" s="397"/>
      <c r="M70" s="485"/>
      <c r="N70" s="485"/>
      <c r="O70" s="485"/>
      <c r="P70" s="485"/>
      <c r="Q70" s="485"/>
      <c r="R70" s="485"/>
      <c r="S70" s="485"/>
      <c r="T70" s="485"/>
      <c r="U70" s="485"/>
      <c r="V70" s="485"/>
    </row>
    <row r="71" spans="1:22" s="301" customFormat="1" x14ac:dyDescent="0.35">
      <c r="A71" s="299"/>
      <c r="B71" s="504" t="str">
        <f>Language!A222</f>
        <v>Kilometraje máximo de vehículos de recolección primaria [km]</v>
      </c>
      <c r="C71" s="111">
        <v>150000</v>
      </c>
      <c r="D71" s="529" t="str">
        <f>Language!A231</f>
        <v>Por defecto 150'000</v>
      </c>
      <c r="E71" s="394"/>
      <c r="F71" s="519"/>
      <c r="G71" s="397"/>
      <c r="M71" s="485"/>
      <c r="N71" s="485"/>
      <c r="O71" s="485"/>
      <c r="P71" s="485"/>
      <c r="Q71" s="485"/>
      <c r="R71" s="485"/>
      <c r="S71" s="485"/>
      <c r="T71" s="485"/>
      <c r="U71" s="485"/>
      <c r="V71" s="485"/>
    </row>
    <row r="72" spans="1:22" s="301" customFormat="1" ht="15" thickBot="1" x14ac:dyDescent="0.4">
      <c r="A72" s="299"/>
      <c r="B72" s="510"/>
      <c r="C72" s="532"/>
      <c r="D72" s="533"/>
      <c r="E72" s="299"/>
      <c r="M72" s="485"/>
      <c r="N72" s="485"/>
      <c r="O72" s="485"/>
      <c r="P72" s="485"/>
      <c r="Q72" s="485"/>
      <c r="R72" s="485"/>
      <c r="S72" s="485"/>
      <c r="T72" s="485"/>
      <c r="U72" s="485"/>
      <c r="V72" s="485"/>
    </row>
    <row r="73" spans="1:22" s="301" customFormat="1" x14ac:dyDescent="0.35">
      <c r="A73" s="299"/>
      <c r="B73" s="493" t="str">
        <f>Language!A239</f>
        <v>E) Rutas de recolección</v>
      </c>
      <c r="C73" s="494"/>
      <c r="D73" s="523"/>
      <c r="E73" s="299"/>
      <c r="M73" s="485"/>
      <c r="N73" s="485"/>
      <c r="O73" s="485"/>
      <c r="P73" s="485"/>
      <c r="Q73" s="485"/>
      <c r="R73" s="485"/>
      <c r="S73" s="485"/>
      <c r="T73" s="485"/>
      <c r="U73" s="485"/>
      <c r="V73" s="485"/>
    </row>
    <row r="74" spans="1:22" s="301" customFormat="1" x14ac:dyDescent="0.35">
      <c r="A74" s="299"/>
      <c r="B74" s="504" t="str">
        <f>Language!A240</f>
        <v>Distancia promedio entre parqueo y primer punto de recolección [km]</v>
      </c>
      <c r="C74" s="8"/>
      <c r="D74" s="499"/>
      <c r="E74" s="299"/>
      <c r="M74" s="485"/>
      <c r="N74" s="485"/>
      <c r="O74" s="485"/>
      <c r="P74" s="485"/>
      <c r="Q74" s="485"/>
      <c r="R74" s="485"/>
      <c r="S74" s="485"/>
      <c r="T74" s="485"/>
      <c r="U74" s="485"/>
      <c r="V74" s="485"/>
    </row>
    <row r="75" spans="1:22" s="301" customFormat="1" x14ac:dyDescent="0.35">
      <c r="A75" s="299"/>
      <c r="B75" s="504" t="str">
        <f>Language!A241</f>
        <v>Distancia promedio desde el último punto de recolección hacia sitio de disposición final [km]</v>
      </c>
      <c r="C75" s="8"/>
      <c r="D75" s="499" t="str">
        <f>Language!A249</f>
        <v>Aplica cuando no hay estación de transferencia</v>
      </c>
      <c r="E75" s="299"/>
      <c r="M75" s="485"/>
      <c r="N75" s="485"/>
      <c r="O75" s="485"/>
      <c r="P75" s="485"/>
      <c r="Q75" s="485"/>
      <c r="R75" s="485"/>
      <c r="S75" s="485"/>
      <c r="T75" s="485"/>
      <c r="U75" s="485"/>
      <c r="V75" s="485"/>
    </row>
    <row r="76" spans="1:22" s="301" customFormat="1" x14ac:dyDescent="0.35">
      <c r="A76" s="299"/>
      <c r="B76" s="504" t="str">
        <f>Language!A242</f>
        <v>Distancia promedio desde el último punto de recolección hacia estación de transferencia [km]</v>
      </c>
      <c r="C76" s="8"/>
      <c r="D76" s="499" t="str">
        <f>Language!A250</f>
        <v>Aplica cuando hay estación de transferencia</v>
      </c>
      <c r="E76" s="299"/>
      <c r="M76" s="485"/>
      <c r="N76" s="485"/>
      <c r="O76" s="485"/>
      <c r="P76" s="485"/>
      <c r="Q76" s="485"/>
      <c r="R76" s="485"/>
      <c r="S76" s="485"/>
      <c r="T76" s="485"/>
      <c r="U76" s="485"/>
      <c r="V76" s="485"/>
    </row>
    <row r="77" spans="1:22" s="301" customFormat="1" x14ac:dyDescent="0.35">
      <c r="A77" s="299"/>
      <c r="B77" s="504" t="str">
        <f>Language!A243</f>
        <v>Distancia promedio de estación de transferencia a sitio de disposición final [km]</v>
      </c>
      <c r="C77" s="8"/>
      <c r="D77" s="499" t="str">
        <f>Language!A251</f>
        <v>Aplica cuando hay estación de transferencia</v>
      </c>
      <c r="E77" s="299"/>
      <c r="M77" s="485"/>
      <c r="N77" s="485"/>
      <c r="O77" s="485"/>
      <c r="P77" s="485"/>
      <c r="Q77" s="485"/>
      <c r="R77" s="485"/>
      <c r="S77" s="485"/>
      <c r="T77" s="485"/>
      <c r="U77" s="485"/>
      <c r="V77" s="485"/>
    </row>
    <row r="78" spans="1:22" s="301" customFormat="1" x14ac:dyDescent="0.35">
      <c r="A78" s="299"/>
      <c r="B78" s="504" t="str">
        <f>Language!A244</f>
        <v>Distancia promedio desde el último punto de recolección hacia planta de clasificación/reciclaje [km]</v>
      </c>
      <c r="C78" s="112">
        <f>C76</f>
        <v>0</v>
      </c>
      <c r="D78" s="499" t="str">
        <f>Language!A252</f>
        <v>Por defecto = mismo sitio que estación de transferencia</v>
      </c>
      <c r="E78" s="299"/>
      <c r="M78" s="485"/>
      <c r="N78" s="485"/>
      <c r="O78" s="485"/>
      <c r="P78" s="485"/>
      <c r="Q78" s="485"/>
      <c r="R78" s="485"/>
      <c r="S78" s="485"/>
      <c r="T78" s="485"/>
      <c r="U78" s="485"/>
      <c r="V78" s="485"/>
    </row>
    <row r="79" spans="1:22" s="301" customFormat="1" x14ac:dyDescent="0.35">
      <c r="A79" s="299"/>
      <c r="B79" s="504" t="str">
        <f>Language!A245</f>
        <v>Distancia promedio desde el último punto de recolección hacia planta de compostaje [km]</v>
      </c>
      <c r="C79" s="13">
        <f>C76</f>
        <v>0</v>
      </c>
      <c r="D79" s="499" t="str">
        <f>Language!A253</f>
        <v>Por defecto = mismo sitio que estación de transferencia</v>
      </c>
      <c r="E79" s="299"/>
      <c r="M79" s="485"/>
      <c r="N79" s="485"/>
      <c r="O79" s="485"/>
      <c r="P79" s="485"/>
      <c r="Q79" s="485"/>
      <c r="R79" s="485"/>
      <c r="S79" s="485"/>
      <c r="T79" s="485"/>
      <c r="U79" s="485"/>
      <c r="V79" s="485"/>
    </row>
    <row r="80" spans="1:22" s="301" customFormat="1" x14ac:dyDescent="0.35">
      <c r="A80" s="299"/>
      <c r="B80" s="504" t="str">
        <f>Language!A246</f>
        <v>Velocidad promedio en zonas urbanas para vehículos de recolección [km/h]</v>
      </c>
      <c r="C80" s="13">
        <v>15</v>
      </c>
      <c r="D80" s="499" t="str">
        <f>Language!A254</f>
        <v>Por defecto = 15</v>
      </c>
      <c r="E80" s="534"/>
      <c r="F80" s="535"/>
      <c r="G80" s="397"/>
      <c r="M80" s="485"/>
      <c r="N80" s="485"/>
      <c r="O80" s="485"/>
      <c r="P80" s="485"/>
      <c r="Q80" s="485"/>
      <c r="R80" s="485"/>
      <c r="S80" s="485"/>
      <c r="T80" s="485"/>
      <c r="U80" s="485"/>
      <c r="V80" s="485"/>
    </row>
    <row r="81" spans="1:22" s="301" customFormat="1" x14ac:dyDescent="0.35">
      <c r="A81" s="299"/>
      <c r="B81" s="504" t="str">
        <f>Language!A247</f>
        <v>Velocidad promedio fuera de zonas urbanas para vehículos de recolección [km/h]</v>
      </c>
      <c r="C81" s="13">
        <v>40</v>
      </c>
      <c r="D81" s="499" t="str">
        <f>Language!A255</f>
        <v>Por defecto = 40</v>
      </c>
      <c r="E81" s="299"/>
      <c r="M81" s="485"/>
      <c r="N81" s="485"/>
      <c r="O81" s="485"/>
      <c r="P81" s="485"/>
      <c r="Q81" s="485"/>
      <c r="R81" s="485"/>
      <c r="S81" s="485"/>
      <c r="T81" s="485"/>
      <c r="U81" s="485"/>
      <c r="V81" s="485"/>
    </row>
    <row r="82" spans="1:22" s="301" customFormat="1" x14ac:dyDescent="0.35">
      <c r="A82" s="299"/>
      <c r="B82" s="504" t="str">
        <f>Language!A248</f>
        <v>Velocidad promedio de fuera de zonas urbanas para vehículos de transferencia [km/h]</v>
      </c>
      <c r="C82" s="13">
        <v>40</v>
      </c>
      <c r="D82" s="499" t="str">
        <f>Language!A256</f>
        <v>Por defecto = 40</v>
      </c>
      <c r="E82" s="299"/>
      <c r="M82" s="485"/>
      <c r="N82" s="485"/>
      <c r="O82" s="485"/>
      <c r="P82" s="485"/>
      <c r="Q82" s="485"/>
      <c r="R82" s="485"/>
      <c r="S82" s="485"/>
      <c r="T82" s="485"/>
      <c r="U82" s="485"/>
      <c r="V82" s="485"/>
    </row>
    <row r="83" spans="1:22" s="301" customFormat="1" ht="15" thickBot="1" x14ac:dyDescent="0.4">
      <c r="A83" s="299"/>
      <c r="B83" s="510"/>
      <c r="C83" s="532"/>
      <c r="D83" s="533"/>
      <c r="E83" s="299"/>
      <c r="M83" s="485"/>
      <c r="N83" s="485"/>
      <c r="O83" s="485"/>
      <c r="P83" s="485"/>
      <c r="Q83" s="485"/>
      <c r="R83" s="485"/>
      <c r="S83" s="485"/>
      <c r="T83" s="485"/>
      <c r="U83" s="485"/>
      <c r="V83" s="485"/>
    </row>
    <row r="84" spans="1:22" s="301" customFormat="1" x14ac:dyDescent="0.35">
      <c r="A84" s="299"/>
      <c r="B84" s="493" t="str">
        <f>Language!A257</f>
        <v>F) Personal</v>
      </c>
      <c r="C84" s="494"/>
      <c r="D84" s="523" t="str">
        <f>Language!A258</f>
        <v>Se completa como promedio por cada empleado/a</v>
      </c>
      <c r="E84" s="299"/>
      <c r="M84" s="485"/>
      <c r="N84" s="485"/>
      <c r="O84" s="485"/>
      <c r="P84" s="485"/>
      <c r="Q84" s="485"/>
      <c r="R84" s="485"/>
      <c r="S84" s="485"/>
      <c r="T84" s="485"/>
      <c r="U84" s="485"/>
      <c r="V84" s="485"/>
    </row>
    <row r="85" spans="1:22" s="301" customFormat="1" x14ac:dyDescent="0.35">
      <c r="A85" s="299"/>
      <c r="B85" s="498" t="str">
        <f>Language!A259</f>
        <v>Días laborales legales por semana [días/semana]</v>
      </c>
      <c r="C85" s="13">
        <v>5</v>
      </c>
      <c r="D85" s="499" t="str">
        <f>Language!A279</f>
        <v>Por defecto = 5</v>
      </c>
      <c r="E85" s="299"/>
      <c r="M85" s="485"/>
      <c r="N85" s="485"/>
      <c r="O85" s="485"/>
      <c r="P85" s="485"/>
      <c r="Q85" s="485"/>
      <c r="R85" s="485"/>
      <c r="S85" s="485"/>
      <c r="T85" s="485"/>
      <c r="U85" s="485"/>
      <c r="V85" s="485"/>
    </row>
    <row r="86" spans="1:22" s="301" customFormat="1" x14ac:dyDescent="0.35">
      <c r="A86" s="299"/>
      <c r="B86" s="498" t="str">
        <f>Language!A260</f>
        <v>Horas laborales por día laboral [horas/día]</v>
      </c>
      <c r="C86" s="14">
        <v>8</v>
      </c>
      <c r="D86" s="499" t="str">
        <f>Language!A280</f>
        <v>Por defecto = 8</v>
      </c>
      <c r="E86" s="299"/>
      <c r="M86" s="485"/>
      <c r="N86" s="485"/>
      <c r="O86" s="485"/>
      <c r="P86" s="485"/>
      <c r="Q86" s="485"/>
      <c r="R86" s="485"/>
      <c r="S86" s="485"/>
      <c r="T86" s="485"/>
      <c r="U86" s="485"/>
      <c r="V86" s="485"/>
    </row>
    <row r="87" spans="1:22" s="301" customFormat="1" x14ac:dyDescent="0.35">
      <c r="A87" s="299"/>
      <c r="B87" s="498" t="str">
        <f>Language!A261</f>
        <v>Días de vacaciones por año [días/año]</v>
      </c>
      <c r="C87" s="14">
        <v>15</v>
      </c>
      <c r="D87" s="499" t="str">
        <f>Language!A281</f>
        <v>Por defecto = 20</v>
      </c>
      <c r="E87" s="299"/>
      <c r="M87" s="485"/>
      <c r="N87" s="485"/>
      <c r="O87" s="485"/>
      <c r="P87" s="485"/>
      <c r="Q87" s="485"/>
      <c r="R87" s="485"/>
      <c r="S87" s="485"/>
      <c r="T87" s="485"/>
      <c r="U87" s="485"/>
      <c r="V87" s="485"/>
    </row>
    <row r="88" spans="1:22" s="301" customFormat="1" x14ac:dyDescent="0.35">
      <c r="A88" s="299"/>
      <c r="B88" s="498" t="str">
        <f>Language!A262</f>
        <v>Días feriados por año [día/año]</v>
      </c>
      <c r="C88" s="14">
        <v>15</v>
      </c>
      <c r="D88" s="499" t="str">
        <f>Language!A282</f>
        <v>Por defecto = 15</v>
      </c>
      <c r="E88" s="299"/>
      <c r="M88" s="485"/>
      <c r="N88" s="485"/>
      <c r="O88" s="485"/>
      <c r="P88" s="485"/>
      <c r="Q88" s="485"/>
      <c r="R88" s="485"/>
      <c r="S88" s="485"/>
      <c r="T88" s="485"/>
      <c r="U88" s="485"/>
      <c r="V88" s="485"/>
    </row>
    <row r="89" spans="1:22" s="301" customFormat="1" x14ac:dyDescent="0.35">
      <c r="A89" s="299"/>
      <c r="B89" s="498" t="str">
        <f>Language!A263</f>
        <v>Días laborales equivalentes por semana [días/semana]</v>
      </c>
      <c r="C89" s="536">
        <f>C95/52</f>
        <v>4.4230769230769234</v>
      </c>
      <c r="D89" s="499"/>
      <c r="E89" s="299"/>
      <c r="M89" s="485"/>
      <c r="N89" s="485"/>
      <c r="O89" s="485"/>
      <c r="P89" s="485"/>
      <c r="Q89" s="485"/>
      <c r="R89" s="485"/>
      <c r="S89" s="485"/>
      <c r="T89" s="485"/>
      <c r="U89" s="485"/>
      <c r="V89" s="485"/>
    </row>
    <row r="90" spans="1:22" s="301" customFormat="1" x14ac:dyDescent="0.35">
      <c r="A90" s="299"/>
      <c r="B90" s="498" t="str">
        <f>Language!A264</f>
        <v>¿Se trabaja los días sábado?</v>
      </c>
      <c r="C90" s="196"/>
      <c r="D90" s="499"/>
      <c r="E90" s="299"/>
      <c r="M90" s="485"/>
      <c r="N90" s="485"/>
      <c r="O90" s="485"/>
      <c r="P90" s="485"/>
      <c r="Q90" s="485"/>
      <c r="R90" s="485"/>
      <c r="S90" s="485"/>
      <c r="T90" s="485"/>
      <c r="U90" s="485"/>
      <c r="V90" s="485"/>
    </row>
    <row r="91" spans="1:22" s="301" customFormat="1" x14ac:dyDescent="0.35">
      <c r="A91" s="299"/>
      <c r="B91" s="498" t="str">
        <f>Language!A265</f>
        <v>¿Se trabaja los días domingo?</v>
      </c>
      <c r="C91" s="196"/>
      <c r="D91" s="499"/>
      <c r="E91" s="299"/>
      <c r="M91" s="485"/>
      <c r="N91" s="485"/>
      <c r="O91" s="485"/>
      <c r="P91" s="485"/>
      <c r="Q91" s="485"/>
      <c r="R91" s="485"/>
      <c r="S91" s="485"/>
      <c r="T91" s="485"/>
      <c r="U91" s="485"/>
      <c r="V91" s="485"/>
    </row>
    <row r="92" spans="1:22" s="301" customFormat="1" ht="29" x14ac:dyDescent="0.35">
      <c r="A92" s="299"/>
      <c r="B92" s="504" t="str">
        <f>Language!A266</f>
        <v>¿Se pueden realizar dos turnos de 8 horas para un mismo camión con dos equipos de recolección diferentes en un día?</v>
      </c>
      <c r="C92" s="196"/>
      <c r="D92" s="524" t="str">
        <f>Language!A283</f>
        <v>Si la recolección es posible entre 6 am y 22 pm (16h o más) entonces si se debería poder utilizar un camión para 2 turnos en 1 día</v>
      </c>
      <c r="E92" s="537"/>
      <c r="M92" s="485"/>
      <c r="N92" s="485"/>
      <c r="O92" s="485"/>
      <c r="P92" s="485"/>
      <c r="Q92" s="485"/>
      <c r="R92" s="485"/>
      <c r="S92" s="485"/>
      <c r="T92" s="485"/>
      <c r="U92" s="485"/>
      <c r="V92" s="485"/>
    </row>
    <row r="93" spans="1:22" s="301" customFormat="1" x14ac:dyDescent="0.35">
      <c r="A93" s="299"/>
      <c r="B93" s="498" t="str">
        <f>Language!A267</f>
        <v>Prueba lógica 1 []</v>
      </c>
      <c r="C93" s="538">
        <f>IF(C85=7,7,IF(AND(C85&gt;5,C90=Language!A277,C91=Language!A277), 7, IF(AND(C85&gt;5,OR(C90=Language!A277,C91=Language!A277)),6,C85+IF(C90=Language!A277,1,0)+IF(C91=Language!A277,1,0))))</f>
        <v>5</v>
      </c>
      <c r="D93" s="499"/>
      <c r="E93" s="299"/>
      <c r="M93" s="485"/>
      <c r="N93" s="485"/>
      <c r="O93" s="485"/>
      <c r="P93" s="485"/>
      <c r="Q93" s="485"/>
      <c r="R93" s="485"/>
      <c r="S93" s="485"/>
      <c r="T93" s="485"/>
      <c r="U93" s="485"/>
      <c r="V93" s="485"/>
    </row>
    <row r="94" spans="1:22" s="301" customFormat="1" x14ac:dyDescent="0.35">
      <c r="A94" s="299"/>
      <c r="B94" s="498" t="str">
        <f>Language!A268</f>
        <v>Factor aplicado al número de camiones necesario []</v>
      </c>
      <c r="C94" s="539">
        <f>IF(C92=Language!A277, 2*C93/C85, 1*C93/C85)</f>
        <v>1</v>
      </c>
      <c r="D94" s="499"/>
      <c r="E94" s="299"/>
      <c r="M94" s="485"/>
      <c r="N94" s="485"/>
      <c r="O94" s="485"/>
      <c r="P94" s="485"/>
      <c r="Q94" s="485"/>
      <c r="R94" s="485"/>
      <c r="S94" s="485"/>
      <c r="T94" s="485"/>
      <c r="U94" s="485"/>
      <c r="V94" s="485"/>
    </row>
    <row r="95" spans="1:22" s="301" customFormat="1" x14ac:dyDescent="0.35">
      <c r="A95" s="299"/>
      <c r="B95" s="498" t="str">
        <f>Language!A269</f>
        <v>Días laborales por año [días/año]</v>
      </c>
      <c r="C95" s="539">
        <f>C85*52-C87-C88</f>
        <v>230</v>
      </c>
      <c r="D95" s="499"/>
      <c r="E95" s="299"/>
      <c r="M95" s="485"/>
      <c r="N95" s="485"/>
      <c r="O95" s="485"/>
      <c r="P95" s="485"/>
      <c r="Q95" s="485"/>
      <c r="R95" s="485"/>
      <c r="S95" s="485"/>
      <c r="T95" s="485"/>
      <c r="U95" s="485"/>
      <c r="V95" s="485"/>
    </row>
    <row r="96" spans="1:22" s="301" customFormat="1" x14ac:dyDescent="0.35">
      <c r="A96" s="299"/>
      <c r="B96" s="498" t="str">
        <f>Language!A270</f>
        <v>Horas laborales por año [horas/año]</v>
      </c>
      <c r="C96" s="539">
        <f>C95*C86</f>
        <v>1840</v>
      </c>
      <c r="D96" s="499"/>
      <c r="E96" s="299"/>
      <c r="M96" s="485"/>
      <c r="N96" s="485"/>
      <c r="O96" s="485"/>
      <c r="P96" s="485"/>
      <c r="Q96" s="485"/>
      <c r="R96" s="485"/>
      <c r="S96" s="485"/>
      <c r="T96" s="485"/>
      <c r="U96" s="485"/>
      <c r="V96" s="485"/>
    </row>
    <row r="97" spans="1:22" s="301" customFormat="1" x14ac:dyDescent="0.35">
      <c r="A97" s="299"/>
      <c r="B97" s="498"/>
      <c r="C97" s="540"/>
      <c r="D97" s="499"/>
      <c r="E97" s="299"/>
      <c r="M97" s="485"/>
      <c r="N97" s="485"/>
      <c r="O97" s="485"/>
      <c r="P97" s="485"/>
      <c r="Q97" s="485"/>
      <c r="R97" s="485"/>
      <c r="S97" s="485"/>
      <c r="T97" s="485"/>
      <c r="U97" s="485"/>
      <c r="V97" s="485"/>
    </row>
    <row r="98" spans="1:22" s="301" customFormat="1" x14ac:dyDescent="0.35">
      <c r="A98" s="299"/>
      <c r="B98" s="498" t="str">
        <f>Language!A271</f>
        <v>Costos de salario, beneficios sociales y seguros anuales para chofer [$$$/año]</v>
      </c>
      <c r="C98" s="12"/>
      <c r="D98" s="499" t="str">
        <f>Language!A284</f>
        <v>Costo para 1 persona en todas estas líneas</v>
      </c>
      <c r="E98" s="541"/>
      <c r="M98" s="485"/>
      <c r="N98" s="485"/>
      <c r="O98" s="485"/>
      <c r="P98" s="485"/>
      <c r="Q98" s="485"/>
      <c r="R98" s="485"/>
      <c r="S98" s="485"/>
      <c r="T98" s="485"/>
      <c r="U98" s="485"/>
      <c r="V98" s="485"/>
    </row>
    <row r="99" spans="1:22" s="301" customFormat="1" x14ac:dyDescent="0.35">
      <c r="A99" s="299"/>
      <c r="B99" s="498" t="str">
        <f>Language!A272</f>
        <v>Costos de salario, beneficios sociales y seguros anuales para ayudante de recolección [$$$/año]</v>
      </c>
      <c r="C99" s="12"/>
      <c r="D99" s="499" t="str">
        <f>Language!A285</f>
        <v>Personal ayudante en camión de recolección o transferencia</v>
      </c>
      <c r="E99" s="541"/>
      <c r="M99" s="485"/>
      <c r="N99" s="485"/>
      <c r="O99" s="485"/>
      <c r="P99" s="485"/>
      <c r="Q99" s="485"/>
      <c r="R99" s="485"/>
      <c r="S99" s="485"/>
      <c r="T99" s="485"/>
      <c r="U99" s="485"/>
      <c r="V99" s="485"/>
    </row>
    <row r="100" spans="1:22" s="301" customFormat="1" x14ac:dyDescent="0.35">
      <c r="A100" s="299"/>
      <c r="B100" s="498" t="str">
        <f>Language!A273</f>
        <v>Costos de salario, beneficios sociales y seguros anuales para trabajador/a [$$$/año]</v>
      </c>
      <c r="C100" s="12"/>
      <c r="D100" s="499" t="str">
        <f>Language!A286</f>
        <v>Personal de estación de transferencia</v>
      </c>
      <c r="E100" s="541"/>
      <c r="M100" s="485"/>
      <c r="N100" s="485"/>
      <c r="O100" s="485"/>
      <c r="P100" s="485"/>
      <c r="Q100" s="485"/>
      <c r="R100" s="485"/>
      <c r="S100" s="485"/>
      <c r="T100" s="485"/>
      <c r="U100" s="485"/>
      <c r="V100" s="485"/>
    </row>
    <row r="101" spans="1:22" s="301" customFormat="1" x14ac:dyDescent="0.35">
      <c r="A101" s="299"/>
      <c r="B101" s="498" t="str">
        <f>Language!A274</f>
        <v>Otros costos anuales para chofer [$$$/año]</v>
      </c>
      <c r="C101" s="12"/>
      <c r="D101" s="499" t="str">
        <f>Language!A287</f>
        <v>Incluye materiales, suministros varios y equipo</v>
      </c>
      <c r="E101" s="541"/>
      <c r="M101" s="485"/>
      <c r="N101" s="485"/>
      <c r="O101" s="485"/>
      <c r="P101" s="485"/>
      <c r="Q101" s="485"/>
      <c r="R101" s="485"/>
      <c r="S101" s="485"/>
      <c r="T101" s="485"/>
      <c r="U101" s="485"/>
      <c r="V101" s="485"/>
    </row>
    <row r="102" spans="1:22" s="301" customFormat="1" x14ac:dyDescent="0.35">
      <c r="A102" s="299"/>
      <c r="B102" s="498" t="str">
        <f>Language!A275</f>
        <v>Otros costos anuales para ayudante de recolección [$$$/año]</v>
      </c>
      <c r="C102" s="12"/>
      <c r="D102" s="499" t="str">
        <f>Language!A287</f>
        <v>Incluye materiales, suministros varios y equipo</v>
      </c>
      <c r="E102" s="541"/>
      <c r="M102" s="485"/>
      <c r="N102" s="485"/>
      <c r="O102" s="485"/>
      <c r="P102" s="485"/>
      <c r="Q102" s="485"/>
      <c r="R102" s="485"/>
      <c r="S102" s="485"/>
      <c r="T102" s="485"/>
      <c r="U102" s="485"/>
      <c r="V102" s="485"/>
    </row>
    <row r="103" spans="1:22" s="301" customFormat="1" x14ac:dyDescent="0.35">
      <c r="A103" s="299"/>
      <c r="B103" s="498" t="str">
        <f>Language!A276</f>
        <v>Otros costos anuales para trabajador/a [$$$/año]</v>
      </c>
      <c r="C103" s="12"/>
      <c r="D103" s="499" t="str">
        <f>Language!A287</f>
        <v>Incluye materiales, suministros varios y equipo</v>
      </c>
      <c r="E103" s="541"/>
      <c r="M103" s="485"/>
      <c r="N103" s="485"/>
      <c r="O103" s="485"/>
      <c r="P103" s="485"/>
      <c r="Q103" s="485"/>
      <c r="R103" s="485"/>
      <c r="S103" s="485"/>
      <c r="T103" s="485"/>
      <c r="U103" s="485"/>
      <c r="V103" s="485"/>
    </row>
    <row r="104" spans="1:22" s="301" customFormat="1" ht="15" thickBot="1" x14ac:dyDescent="0.4">
      <c r="A104" s="299"/>
      <c r="B104" s="510"/>
      <c r="C104" s="532"/>
      <c r="D104" s="533"/>
      <c r="E104" s="299"/>
      <c r="M104" s="485"/>
      <c r="N104" s="485"/>
      <c r="O104" s="485"/>
      <c r="P104" s="485"/>
      <c r="Q104" s="485"/>
      <c r="R104" s="485"/>
      <c r="S104" s="485"/>
      <c r="T104" s="485"/>
      <c r="U104" s="485"/>
      <c r="V104" s="485"/>
    </row>
    <row r="105" spans="1:22" s="301" customFormat="1" x14ac:dyDescent="0.35">
      <c r="A105" s="299"/>
      <c r="B105" s="493" t="str">
        <f>Language!A288</f>
        <v>G) Recolección domiciliar</v>
      </c>
      <c r="C105" s="494"/>
      <c r="D105" s="523"/>
      <c r="E105" s="299"/>
      <c r="M105" s="485"/>
      <c r="N105" s="485"/>
      <c r="O105" s="485"/>
      <c r="P105" s="485"/>
      <c r="Q105" s="485"/>
      <c r="R105" s="485"/>
      <c r="S105" s="485"/>
      <c r="T105" s="485"/>
      <c r="U105" s="485"/>
      <c r="V105" s="485"/>
    </row>
    <row r="106" spans="1:22" s="301" customFormat="1" x14ac:dyDescent="0.35">
      <c r="A106" s="299"/>
      <c r="B106" s="498" t="str">
        <f>Language!A289</f>
        <v>Frecuencia de recolección semanal [n°recolección/semana]</v>
      </c>
      <c r="C106" s="8"/>
      <c r="D106" s="524" t="str">
        <f>Language!A294</f>
        <v>N° de veces que se recolectan rutas especificas (modelo A/B)</v>
      </c>
      <c r="E106" s="299"/>
      <c r="M106" s="485"/>
      <c r="N106" s="485"/>
      <c r="O106" s="485"/>
      <c r="P106" s="485"/>
      <c r="Q106" s="485"/>
      <c r="R106" s="485"/>
      <c r="S106" s="485"/>
      <c r="T106" s="485"/>
      <c r="U106" s="485"/>
      <c r="V106" s="485"/>
    </row>
    <row r="107" spans="1:22" s="301" customFormat="1" x14ac:dyDescent="0.35">
      <c r="A107" s="299"/>
      <c r="B107" s="498" t="str">
        <f>Language!A290</f>
        <v>Frecuencia de recolección semanal contenedores [n°recolección/semana]</v>
      </c>
      <c r="C107" s="8"/>
      <c r="D107" s="499" t="str">
        <f>Language!A295</f>
        <v>Aplica para opción con contenedores (modelo C)</v>
      </c>
      <c r="E107" s="299"/>
      <c r="M107" s="485"/>
      <c r="N107" s="485"/>
      <c r="O107" s="485"/>
      <c r="P107" s="485"/>
      <c r="Q107" s="485"/>
      <c r="R107" s="485"/>
      <c r="S107" s="485"/>
      <c r="T107" s="485"/>
      <c r="U107" s="485"/>
      <c r="V107" s="485"/>
    </row>
    <row r="108" spans="1:22" s="301" customFormat="1" x14ac:dyDescent="0.35">
      <c r="A108" s="299"/>
      <c r="B108" s="498" t="str">
        <f>Language!A291</f>
        <v>Frecuencia de recolección semanal para desechos [n°recolección/semana]</v>
      </c>
      <c r="C108" s="8"/>
      <c r="D108" s="499" t="str">
        <f>Language!A296</f>
        <v>Aplica para opción con clasificación (modelo D)</v>
      </c>
      <c r="E108" s="299"/>
      <c r="M108" s="485"/>
      <c r="N108" s="485"/>
      <c r="O108" s="485"/>
      <c r="P108" s="485"/>
      <c r="Q108" s="485"/>
      <c r="R108" s="485"/>
      <c r="S108" s="485"/>
      <c r="T108" s="485"/>
      <c r="U108" s="485"/>
      <c r="V108" s="485"/>
    </row>
    <row r="109" spans="1:22" s="301" customFormat="1" x14ac:dyDescent="0.35">
      <c r="A109" s="299"/>
      <c r="B109" s="498" t="str">
        <f>Language!A292</f>
        <v>Frecuencia de recolección semanal para reciclables [n°recolección/semana]</v>
      </c>
      <c r="C109" s="8"/>
      <c r="D109" s="499" t="str">
        <f>Language!A297</f>
        <v>Aplica para opción con clasificación (modelo D)</v>
      </c>
      <c r="E109" s="299"/>
      <c r="M109" s="485"/>
      <c r="N109" s="485"/>
      <c r="O109" s="485"/>
      <c r="P109" s="485"/>
      <c r="Q109" s="485"/>
      <c r="R109" s="485"/>
      <c r="S109" s="485"/>
      <c r="T109" s="485"/>
      <c r="U109" s="485"/>
      <c r="V109" s="485"/>
    </row>
    <row r="110" spans="1:22" s="301" customFormat="1" x14ac:dyDescent="0.35">
      <c r="A110" s="299"/>
      <c r="B110" s="498" t="str">
        <f>Language!A293</f>
        <v>Frecuencia de recolección semanal para materia orgánica [n°recolección/semana]</v>
      </c>
      <c r="C110" s="8"/>
      <c r="D110" s="499" t="str">
        <f>Language!A298</f>
        <v>Aplica para opción con clasificación (modelo D)</v>
      </c>
      <c r="E110" s="299"/>
      <c r="M110" s="485"/>
      <c r="N110" s="485"/>
      <c r="O110" s="485"/>
      <c r="P110" s="485"/>
      <c r="Q110" s="485"/>
      <c r="R110" s="485"/>
      <c r="S110" s="485"/>
      <c r="T110" s="485"/>
      <c r="U110" s="485"/>
      <c r="V110" s="485"/>
    </row>
    <row r="111" spans="1:22" s="301" customFormat="1" ht="15" thickBot="1" x14ac:dyDescent="0.4">
      <c r="A111" s="299"/>
      <c r="B111" s="510"/>
      <c r="C111" s="532"/>
      <c r="D111" s="533"/>
      <c r="E111" s="299"/>
      <c r="M111" s="485"/>
      <c r="N111" s="485"/>
      <c r="O111" s="485"/>
      <c r="P111" s="485"/>
      <c r="Q111" s="485"/>
      <c r="R111" s="485"/>
      <c r="S111" s="485"/>
      <c r="T111" s="485"/>
      <c r="U111" s="485"/>
      <c r="V111" s="485"/>
    </row>
    <row r="112" spans="1:22" s="301" customFormat="1" x14ac:dyDescent="0.35">
      <c r="A112" s="299"/>
      <c r="B112" s="493" t="str">
        <f>Language!A299</f>
        <v>H) Tiempos de descarga</v>
      </c>
      <c r="C112" s="494"/>
      <c r="D112" s="523"/>
      <c r="E112" s="299"/>
      <c r="M112" s="485"/>
      <c r="N112" s="485"/>
      <c r="O112" s="485"/>
      <c r="P112" s="485"/>
      <c r="Q112" s="485"/>
      <c r="R112" s="485"/>
      <c r="S112" s="485"/>
      <c r="T112" s="485"/>
      <c r="U112" s="485"/>
      <c r="V112" s="485"/>
    </row>
    <row r="113" spans="1:22" s="301" customFormat="1" x14ac:dyDescent="0.35">
      <c r="A113" s="299"/>
      <c r="B113" s="504" t="str">
        <f>Language!A300</f>
        <v>Tiempo para vaciar camión recolector en estación de transferencia o disposición final [minutos]</v>
      </c>
      <c r="C113" s="13">
        <v>12</v>
      </c>
      <c r="D113" s="499" t="str">
        <f>Language!A303</f>
        <v>Por defecto = 12</v>
      </c>
      <c r="E113" s="299"/>
      <c r="M113" s="485"/>
      <c r="N113" s="485"/>
      <c r="O113" s="485"/>
      <c r="P113" s="485"/>
      <c r="Q113" s="485"/>
      <c r="R113" s="485"/>
      <c r="S113" s="485"/>
      <c r="T113" s="485"/>
      <c r="U113" s="485"/>
      <c r="V113" s="485"/>
    </row>
    <row r="114" spans="1:22" s="301" customFormat="1" x14ac:dyDescent="0.35">
      <c r="A114" s="299"/>
      <c r="B114" s="504" t="str">
        <f>Language!A301</f>
        <v>Tiempo para llenar camiones de transferencia en la estación de transferencia [minutos]</v>
      </c>
      <c r="C114" s="13">
        <v>12</v>
      </c>
      <c r="D114" s="499" t="str">
        <f>Language!A304</f>
        <v>Por defecto = 12</v>
      </c>
      <c r="E114" s="299"/>
      <c r="M114" s="485"/>
      <c r="N114" s="485"/>
      <c r="O114" s="485"/>
      <c r="P114" s="485"/>
      <c r="Q114" s="485"/>
      <c r="R114" s="485"/>
      <c r="S114" s="485"/>
      <c r="T114" s="485"/>
      <c r="U114" s="485"/>
      <c r="V114" s="485"/>
    </row>
    <row r="115" spans="1:22" s="301" customFormat="1" x14ac:dyDescent="0.35">
      <c r="A115" s="299"/>
      <c r="B115" s="504" t="str">
        <f>Language!A302</f>
        <v>Tiempo para vaciar camiones de transferencia en sitio de disposición final [minutos]</v>
      </c>
      <c r="C115" s="13">
        <v>12</v>
      </c>
      <c r="D115" s="499" t="str">
        <f>Language!A305</f>
        <v>Por defecto = 12</v>
      </c>
      <c r="E115" s="299"/>
      <c r="M115" s="485"/>
      <c r="N115" s="485"/>
      <c r="O115" s="485"/>
      <c r="P115" s="485"/>
      <c r="Q115" s="485"/>
      <c r="R115" s="485"/>
      <c r="S115" s="485"/>
      <c r="T115" s="485"/>
      <c r="U115" s="485"/>
      <c r="V115" s="485"/>
    </row>
    <row r="116" spans="1:22" s="301" customFormat="1" ht="15" thickBot="1" x14ac:dyDescent="0.4">
      <c r="A116" s="299"/>
      <c r="B116" s="510"/>
      <c r="C116" s="532"/>
      <c r="D116" s="533"/>
      <c r="E116" s="299"/>
      <c r="M116" s="485"/>
      <c r="N116" s="485"/>
      <c r="O116" s="485"/>
      <c r="P116" s="485"/>
      <c r="Q116" s="485"/>
      <c r="R116" s="485"/>
      <c r="S116" s="485"/>
      <c r="T116" s="485"/>
      <c r="U116" s="485"/>
      <c r="V116" s="485"/>
    </row>
    <row r="117" spans="1:22" s="301" customFormat="1" x14ac:dyDescent="0.35">
      <c r="A117" s="299"/>
      <c r="B117" s="493" t="str">
        <f>Language!A306</f>
        <v>I) Tiempos de depreciación y costos</v>
      </c>
      <c r="C117" s="494"/>
      <c r="D117" s="523"/>
      <c r="E117" s="299"/>
      <c r="M117" s="485"/>
      <c r="N117" s="485"/>
      <c r="O117" s="485"/>
      <c r="P117" s="485"/>
      <c r="Q117" s="485"/>
      <c r="R117" s="485"/>
      <c r="S117" s="485"/>
      <c r="T117" s="485"/>
      <c r="U117" s="485"/>
      <c r="V117" s="485"/>
    </row>
    <row r="118" spans="1:22" s="301" customFormat="1" x14ac:dyDescent="0.35">
      <c r="A118" s="299"/>
      <c r="B118" s="498" t="str">
        <f>Language!A307</f>
        <v>Kilometraje máximo de vehículo de recolección [km]</v>
      </c>
      <c r="C118" s="12"/>
      <c r="D118" s="499"/>
      <c r="E118" s="299"/>
      <c r="M118" s="485"/>
      <c r="N118" s="485"/>
      <c r="O118" s="485"/>
      <c r="P118" s="485"/>
      <c r="Q118" s="485"/>
      <c r="R118" s="485"/>
      <c r="S118" s="485"/>
      <c r="T118" s="485"/>
      <c r="U118" s="485"/>
      <c r="V118" s="485"/>
    </row>
    <row r="119" spans="1:22" s="301" customFormat="1" x14ac:dyDescent="0.35">
      <c r="A119" s="299"/>
      <c r="B119" s="498" t="str">
        <f>Language!A308</f>
        <v>Costo vehículo de recolección [$$$]</v>
      </c>
      <c r="C119" s="15">
        <f>128000*Info!C6</f>
        <v>128000</v>
      </c>
      <c r="D119" s="499" t="str">
        <f>Language!A316</f>
        <v>Por defecto = 128'000 USD, camión compactador</v>
      </c>
      <c r="E119" s="357"/>
      <c r="M119" s="485"/>
      <c r="N119" s="485"/>
      <c r="O119" s="485"/>
      <c r="P119" s="485"/>
      <c r="Q119" s="485"/>
      <c r="R119" s="485"/>
      <c r="S119" s="485"/>
      <c r="T119" s="485"/>
      <c r="U119" s="485"/>
      <c r="V119" s="485"/>
    </row>
    <row r="120" spans="1:22" s="301" customFormat="1" x14ac:dyDescent="0.35">
      <c r="A120" s="299"/>
      <c r="B120" s="498" t="str">
        <f>Language!A309</f>
        <v>Kilometraje máximo de vehículos de transferencia [km]</v>
      </c>
      <c r="C120" s="12"/>
      <c r="D120" s="499"/>
      <c r="E120" s="357"/>
      <c r="M120" s="485"/>
      <c r="N120" s="485"/>
      <c r="O120" s="485"/>
      <c r="P120" s="485"/>
      <c r="Q120" s="485"/>
      <c r="R120" s="485"/>
      <c r="S120" s="485"/>
      <c r="T120" s="485"/>
      <c r="U120" s="485"/>
      <c r="V120" s="485"/>
    </row>
    <row r="121" spans="1:22" s="301" customFormat="1" x14ac:dyDescent="0.35">
      <c r="A121" s="299"/>
      <c r="B121" s="498" t="str">
        <f>Language!A310</f>
        <v>Costo vehículo de transferencia [$$$]</v>
      </c>
      <c r="C121" s="15">
        <v>50000</v>
      </c>
      <c r="D121" s="499" t="str">
        <f>Language!A317</f>
        <v>Por defecto = 36'000 USD</v>
      </c>
      <c r="E121" s="541"/>
      <c r="M121" s="485"/>
      <c r="N121" s="485"/>
      <c r="O121" s="485"/>
      <c r="P121" s="485"/>
      <c r="Q121" s="485"/>
      <c r="R121" s="485"/>
      <c r="S121" s="485"/>
      <c r="T121" s="485"/>
      <c r="U121" s="485"/>
      <c r="V121" s="485"/>
    </row>
    <row r="122" spans="1:22" s="301" customFormat="1" x14ac:dyDescent="0.35">
      <c r="A122" s="299"/>
      <c r="B122" s="498" t="str">
        <f>Language!A311</f>
        <v>Tiempo de vida de contenedores [años]</v>
      </c>
      <c r="C122" s="14">
        <v>5</v>
      </c>
      <c r="D122" s="499" t="str">
        <f>Language!A318</f>
        <v>Por defecto = 5</v>
      </c>
      <c r="E122" s="299"/>
      <c r="G122" s="542" t="s">
        <v>564</v>
      </c>
      <c r="M122" s="485"/>
      <c r="N122" s="485"/>
      <c r="O122" s="485"/>
      <c r="P122" s="485"/>
      <c r="Q122" s="485"/>
      <c r="R122" s="485"/>
      <c r="S122" s="485"/>
      <c r="T122" s="485"/>
      <c r="U122" s="485"/>
      <c r="V122" s="485"/>
    </row>
    <row r="123" spans="1:22" s="301" customFormat="1" x14ac:dyDescent="0.35">
      <c r="A123" s="299"/>
      <c r="B123" s="498" t="str">
        <f>Language!A312</f>
        <v>Costo contenedor [$$$]</v>
      </c>
      <c r="C123" s="14">
        <f>400*Info!C6</f>
        <v>400</v>
      </c>
      <c r="D123" s="499" t="str">
        <f>Language!A319</f>
        <v>Por defecto = 400 USD</v>
      </c>
      <c r="E123" s="541"/>
      <c r="M123" s="485"/>
      <c r="N123" s="485"/>
      <c r="O123" s="485"/>
      <c r="P123" s="485"/>
      <c r="Q123" s="485"/>
      <c r="R123" s="485"/>
      <c r="S123" s="485"/>
      <c r="T123" s="485"/>
      <c r="U123" s="485"/>
      <c r="V123" s="485"/>
    </row>
    <row r="124" spans="1:22" s="301" customFormat="1" x14ac:dyDescent="0.35">
      <c r="A124" s="299"/>
      <c r="B124" s="498" t="str">
        <f>Language!A313</f>
        <v>Tiempo de vida de estación de transferencia [años]</v>
      </c>
      <c r="C124" s="14">
        <v>20</v>
      </c>
      <c r="D124" s="499"/>
      <c r="E124" s="299"/>
      <c r="M124" s="485"/>
      <c r="N124" s="485"/>
      <c r="O124" s="485"/>
      <c r="P124" s="485"/>
      <c r="Q124" s="485"/>
      <c r="R124" s="485"/>
      <c r="S124" s="485"/>
      <c r="T124" s="485"/>
      <c r="U124" s="485"/>
      <c r="V124" s="485"/>
    </row>
    <row r="125" spans="1:22" s="301" customFormat="1" x14ac:dyDescent="0.35">
      <c r="A125" s="299"/>
      <c r="B125" s="498" t="str">
        <f>Language!A314</f>
        <v>Costo estación de transferencia [$$$]</v>
      </c>
      <c r="C125" s="15">
        <f>100000*Info!C6</f>
        <v>100000</v>
      </c>
      <c r="D125" s="499" t="str">
        <f>Language!A320</f>
        <v>Por defecto = 100'000 USD</v>
      </c>
      <c r="E125" s="541"/>
      <c r="M125" s="485"/>
      <c r="N125" s="485"/>
      <c r="O125" s="485"/>
      <c r="P125" s="485"/>
      <c r="Q125" s="485"/>
      <c r="R125" s="485"/>
      <c r="S125" s="485"/>
      <c r="T125" s="485"/>
      <c r="U125" s="485"/>
      <c r="V125" s="485"/>
    </row>
    <row r="126" spans="1:22" s="301" customFormat="1" ht="15" thickBot="1" x14ac:dyDescent="0.4">
      <c r="A126" s="299"/>
      <c r="B126" s="510"/>
      <c r="C126" s="532"/>
      <c r="D126" s="533"/>
      <c r="E126" s="541"/>
      <c r="M126" s="485"/>
      <c r="N126" s="485"/>
      <c r="O126" s="485"/>
      <c r="P126" s="485"/>
      <c r="Q126" s="485"/>
      <c r="R126" s="485"/>
      <c r="S126" s="485"/>
      <c r="T126" s="485"/>
      <c r="U126" s="485"/>
      <c r="V126" s="485"/>
    </row>
    <row r="127" spans="1:22" s="301" customFormat="1" x14ac:dyDescent="0.35">
      <c r="A127" s="299"/>
      <c r="B127" s="493" t="str">
        <f>Language!A321</f>
        <v>J) Características de los contenedores</v>
      </c>
      <c r="C127" s="494"/>
      <c r="D127" s="523"/>
      <c r="E127" s="541"/>
      <c r="M127" s="485"/>
      <c r="N127" s="485"/>
      <c r="O127" s="485"/>
      <c r="P127" s="485"/>
      <c r="Q127" s="485"/>
      <c r="R127" s="485"/>
      <c r="S127" s="485"/>
      <c r="T127" s="485"/>
      <c r="U127" s="485"/>
      <c r="V127" s="485"/>
    </row>
    <row r="128" spans="1:22" s="301" customFormat="1" x14ac:dyDescent="0.35">
      <c r="A128" s="299"/>
      <c r="B128" s="543" t="str">
        <f>Language!A322</f>
        <v>Para escenario de recolección mixta con contenedores (C)</v>
      </c>
      <c r="C128" s="544"/>
      <c r="D128" s="545"/>
      <c r="E128" s="541"/>
      <c r="M128" s="485"/>
      <c r="N128" s="485"/>
      <c r="O128" s="485"/>
      <c r="P128" s="485"/>
      <c r="Q128" s="485"/>
      <c r="R128" s="485"/>
      <c r="S128" s="485"/>
      <c r="T128" s="485"/>
      <c r="U128" s="485"/>
      <c r="V128" s="485"/>
    </row>
    <row r="129" spans="1:22" s="301" customFormat="1" x14ac:dyDescent="0.35">
      <c r="A129" s="299"/>
      <c r="B129" s="504" t="str">
        <f>Language!A323</f>
        <v>Volumen de los contenedores de residuos mixtos (desechos) [m3]</v>
      </c>
      <c r="C129" s="28">
        <v>1.1000000000000001</v>
      </c>
      <c r="D129" s="499" t="str">
        <f>Language!A334</f>
        <v>Por defecto = 1.1</v>
      </c>
      <c r="E129" s="541"/>
      <c r="M129" s="485"/>
      <c r="N129" s="485"/>
      <c r="O129" s="485"/>
      <c r="P129" s="485"/>
      <c r="Q129" s="485"/>
      <c r="R129" s="485"/>
      <c r="S129" s="485"/>
      <c r="T129" s="485"/>
      <c r="U129" s="485"/>
      <c r="V129" s="485"/>
    </row>
    <row r="130" spans="1:22" s="301" customFormat="1" x14ac:dyDescent="0.35">
      <c r="A130" s="299"/>
      <c r="B130" s="504" t="str">
        <f>Language!A324</f>
        <v>Tasa promedio de llenado de contenedores de residuos mixtos (desechos) [%]</v>
      </c>
      <c r="C130" s="29">
        <v>0.8</v>
      </c>
      <c r="D130" s="499" t="str">
        <f>Language!A335</f>
        <v>Por defecto = 80</v>
      </c>
      <c r="E130" s="541"/>
      <c r="M130" s="485"/>
      <c r="N130" s="485"/>
      <c r="O130" s="485"/>
      <c r="P130" s="485"/>
      <c r="Q130" s="485"/>
      <c r="R130" s="485"/>
      <c r="S130" s="485"/>
      <c r="T130" s="485"/>
      <c r="U130" s="485"/>
      <c r="V130" s="485"/>
    </row>
    <row r="131" spans="1:22" s="301" customFormat="1" x14ac:dyDescent="0.35">
      <c r="A131" s="299"/>
      <c r="B131" s="543" t="str">
        <f>Language!A325</f>
        <v>Para escenario de recolección diferenciada con contenedores (D)</v>
      </c>
      <c r="C131" s="544"/>
      <c r="D131" s="545"/>
      <c r="E131" s="541"/>
      <c r="M131" s="485"/>
      <c r="N131" s="485"/>
      <c r="O131" s="485"/>
      <c r="P131" s="485"/>
      <c r="Q131" s="485"/>
      <c r="R131" s="485"/>
      <c r="S131" s="485"/>
      <c r="T131" s="485"/>
      <c r="U131" s="485"/>
      <c r="V131" s="485"/>
    </row>
    <row r="132" spans="1:22" s="301" customFormat="1" x14ac:dyDescent="0.35">
      <c r="A132" s="299"/>
      <c r="B132" s="504" t="str">
        <f>Language!A326</f>
        <v>Volumen de los contenedores de residuos mixtos (desechos) [m3]</v>
      </c>
      <c r="C132" s="28">
        <v>1.1000000000000001</v>
      </c>
      <c r="D132" s="524" t="str">
        <f>Language!A336</f>
        <v>Por defecto = 1.1</v>
      </c>
      <c r="E132" s="541"/>
      <c r="M132" s="485"/>
      <c r="N132" s="485"/>
      <c r="O132" s="485"/>
      <c r="P132" s="485"/>
      <c r="Q132" s="485"/>
      <c r="R132" s="485"/>
      <c r="S132" s="485"/>
      <c r="T132" s="485"/>
      <c r="U132" s="485"/>
      <c r="V132" s="485"/>
    </row>
    <row r="133" spans="1:22" s="301" customFormat="1" ht="43.5" x14ac:dyDescent="0.35">
      <c r="A133" s="299"/>
      <c r="B133" s="504" t="str">
        <f>Language!A327</f>
        <v>Tasa promedio de llenado de contenedores de residuos mixtos (desechos) [%]</v>
      </c>
      <c r="C133" s="29">
        <v>0.8</v>
      </c>
      <c r="D133" s="524" t="str">
        <f>Language!A337</f>
        <v>Por defecto = 80%
Imperativo ser menos de 100% porque es un promedio - si es 100 entonces los contenedores rebasarán de forma regular.</v>
      </c>
      <c r="E133" s="299"/>
      <c r="M133" s="485"/>
      <c r="N133" s="485"/>
      <c r="O133" s="485"/>
      <c r="P133" s="485"/>
      <c r="Q133" s="485"/>
      <c r="R133" s="485"/>
      <c r="S133" s="485"/>
      <c r="T133" s="485"/>
      <c r="U133" s="485"/>
      <c r="V133" s="485"/>
    </row>
    <row r="134" spans="1:22" s="301" customFormat="1" x14ac:dyDescent="0.35">
      <c r="A134" s="299"/>
      <c r="B134" s="504" t="str">
        <f>Language!A328</f>
        <v>Volumen de los contenedores de reciclables [m3]</v>
      </c>
      <c r="C134" s="28">
        <v>1.1000000000000001</v>
      </c>
      <c r="D134" s="524" t="str">
        <f>Language!A338</f>
        <v>Por defecto = 1.1</v>
      </c>
      <c r="E134" s="541"/>
      <c r="M134" s="485"/>
      <c r="N134" s="485"/>
      <c r="O134" s="485"/>
      <c r="P134" s="485"/>
      <c r="Q134" s="485"/>
      <c r="R134" s="485"/>
      <c r="S134" s="485"/>
      <c r="T134" s="485"/>
      <c r="U134" s="485"/>
      <c r="V134" s="485"/>
    </row>
    <row r="135" spans="1:22" s="301" customFormat="1" ht="43.5" x14ac:dyDescent="0.35">
      <c r="A135" s="299"/>
      <c r="B135" s="504" t="str">
        <f>Language!A329</f>
        <v>Tasa promedio de llenado de contenedores de reciclables [%]</v>
      </c>
      <c r="C135" s="29">
        <v>0.8</v>
      </c>
      <c r="D135" s="524" t="str">
        <f>Language!A339</f>
        <v>Por defecto = 80%
Imperativo ser menos de 100% porque es un promedio - si es 100 entonces los contenedores rebasarán de forma regular.</v>
      </c>
      <c r="E135" s="541"/>
      <c r="M135" s="485"/>
      <c r="N135" s="485"/>
      <c r="O135" s="485"/>
      <c r="P135" s="485"/>
      <c r="Q135" s="485"/>
      <c r="R135" s="485"/>
      <c r="S135" s="485"/>
      <c r="T135" s="485"/>
      <c r="U135" s="485"/>
      <c r="V135" s="485"/>
    </row>
    <row r="136" spans="1:22" s="301" customFormat="1" x14ac:dyDescent="0.35">
      <c r="A136" s="299"/>
      <c r="B136" s="504" t="str">
        <f>Language!A330</f>
        <v>Volumen de los contenedores de orgánicos [m3]</v>
      </c>
      <c r="C136" s="28">
        <v>1.1000000000000001</v>
      </c>
      <c r="D136" s="524" t="str">
        <f>Language!A340</f>
        <v>Por defecto = 1.1</v>
      </c>
      <c r="E136" s="299"/>
      <c r="M136" s="485"/>
      <c r="N136" s="485"/>
      <c r="O136" s="485"/>
      <c r="P136" s="485"/>
      <c r="Q136" s="485"/>
      <c r="R136" s="485"/>
      <c r="S136" s="485"/>
      <c r="T136" s="485"/>
      <c r="U136" s="485"/>
      <c r="V136" s="485"/>
    </row>
    <row r="137" spans="1:22" s="301" customFormat="1" ht="43.5" x14ac:dyDescent="0.35">
      <c r="A137" s="299"/>
      <c r="B137" s="504" t="str">
        <f>Language!A331</f>
        <v>Tasa promedio de llenado de contenedores de orgánicos [%]</v>
      </c>
      <c r="C137" s="29">
        <v>0.8</v>
      </c>
      <c r="D137" s="524" t="str">
        <f>Language!A341</f>
        <v>Por defecto = 80%
Imperativo ser menos de 100% porque es un promedio - si es 100 entonces los contenedores rebasarán de forma regular.</v>
      </c>
      <c r="E137" s="541"/>
      <c r="M137" s="485"/>
      <c r="N137" s="485"/>
      <c r="O137" s="485"/>
      <c r="P137" s="485"/>
      <c r="Q137" s="485"/>
      <c r="R137" s="485"/>
      <c r="S137" s="485"/>
      <c r="T137" s="485"/>
      <c r="U137" s="485"/>
      <c r="V137" s="485"/>
    </row>
    <row r="138" spans="1:22" s="301" customFormat="1" ht="43.5" x14ac:dyDescent="0.35">
      <c r="A138" s="299"/>
      <c r="B138" s="504" t="str">
        <f>Language!A332</f>
        <v>Eficiencia de separación de reciclables en la fuente [%]</v>
      </c>
      <c r="C138" s="29">
        <v>0.8</v>
      </c>
      <c r="D138" s="524" t="str">
        <f>Language!A342</f>
        <v>Por defecto = 80%
Es la proporción de reciclables totales que se logra separar por los generadores de residuos en la fuente</v>
      </c>
      <c r="E138" s="299"/>
      <c r="G138" s="923" t="s">
        <v>108</v>
      </c>
      <c r="M138" s="485"/>
      <c r="N138" s="485"/>
      <c r="O138" s="485"/>
      <c r="P138" s="485"/>
      <c r="Q138" s="485"/>
      <c r="R138" s="485"/>
      <c r="S138" s="485"/>
      <c r="T138" s="485"/>
      <c r="U138" s="485"/>
      <c r="V138" s="485"/>
    </row>
    <row r="139" spans="1:22" s="301" customFormat="1" ht="43.5" x14ac:dyDescent="0.35">
      <c r="A139" s="299"/>
      <c r="B139" s="504" t="str">
        <f>Language!A333</f>
        <v>Eficiencia de separación de orgánicos en la fuente [%]</v>
      </c>
      <c r="C139" s="29">
        <v>0.8</v>
      </c>
      <c r="D139" s="524" t="str">
        <f>Language!A343</f>
        <v>Por defecto = 80%
Es la proporción de orgánicos totales que se logra separar por los generadores de residuos en la fuente</v>
      </c>
      <c r="E139" s="541"/>
      <c r="G139" s="923"/>
      <c r="M139" s="485"/>
      <c r="N139" s="485"/>
      <c r="O139" s="485"/>
      <c r="P139" s="485"/>
      <c r="Q139" s="485"/>
      <c r="R139" s="485"/>
      <c r="S139" s="485"/>
      <c r="T139" s="485"/>
      <c r="U139" s="485"/>
      <c r="V139" s="485"/>
    </row>
    <row r="140" spans="1:22" s="301" customFormat="1" ht="15" thickBot="1" x14ac:dyDescent="0.4">
      <c r="A140" s="299"/>
      <c r="B140" s="510"/>
      <c r="C140" s="511"/>
      <c r="D140" s="512"/>
      <c r="E140" s="541"/>
      <c r="M140" s="485"/>
      <c r="N140" s="485"/>
      <c r="O140" s="485"/>
      <c r="P140" s="485"/>
      <c r="Q140" s="485"/>
      <c r="R140" s="485"/>
      <c r="S140" s="485"/>
      <c r="T140" s="485"/>
      <c r="U140" s="485"/>
      <c r="V140" s="485"/>
    </row>
    <row r="141" spans="1:22" s="485" customFormat="1" x14ac:dyDescent="0.35">
      <c r="A141" s="299"/>
      <c r="B141" s="493" t="str">
        <f>Language!A344</f>
        <v>K) Barrido/Limpieza urbana</v>
      </c>
      <c r="C141" s="494"/>
      <c r="D141" s="523"/>
      <c r="E141" s="299"/>
    </row>
    <row r="142" spans="1:22" s="485" customFormat="1" x14ac:dyDescent="0.35">
      <c r="A142" s="299"/>
      <c r="B142" s="546" t="str">
        <f>Language!A345</f>
        <v>Barrido de vías con servicio manual</v>
      </c>
      <c r="C142" s="358"/>
      <c r="D142" s="499"/>
      <c r="E142" s="299"/>
    </row>
    <row r="143" spans="1:22" s="485" customFormat="1" x14ac:dyDescent="0.35">
      <c r="A143" s="299"/>
      <c r="B143" s="498" t="str">
        <f>Language!A346</f>
        <v>Frecuencia del servicio de barrido por semana [limpiezas/semana]</v>
      </c>
      <c r="C143" s="8"/>
      <c r="D143" s="524"/>
      <c r="E143" s="299"/>
    </row>
    <row r="144" spans="1:22" s="485" customFormat="1" x14ac:dyDescent="0.35">
      <c r="A144" s="299"/>
      <c r="B144" s="498" t="str">
        <f>Language!A347</f>
        <v>Longitud de vías pavimentadas con servicio de barrido manual [km]</v>
      </c>
      <c r="C144" s="8"/>
      <c r="D144" s="524"/>
      <c r="E144" s="299"/>
    </row>
    <row r="145" spans="1:5" s="485" customFormat="1" x14ac:dyDescent="0.35">
      <c r="A145" s="299"/>
      <c r="B145" s="498" t="str">
        <f>Language!A348</f>
        <v>Eficiencia</v>
      </c>
      <c r="C145" s="106"/>
      <c r="D145" s="524"/>
      <c r="E145" s="299"/>
    </row>
    <row r="146" spans="1:5" s="485" customFormat="1" x14ac:dyDescent="0.35">
      <c r="A146" s="299"/>
      <c r="B146" s="498" t="str">
        <f>Language!A349</f>
        <v>Rendimiento de barrido [km/barrendero*día]</v>
      </c>
      <c r="C146" s="503">
        <f>IF(C145=Language!A350,2.5,IF(C145=Language!A351,1.5,IF(C145=Language!A352,0.75,)))</f>
        <v>0</v>
      </c>
      <c r="D146" s="524"/>
      <c r="E146" s="299"/>
    </row>
    <row r="147" spans="1:5" s="485" customFormat="1" x14ac:dyDescent="0.35">
      <c r="A147" s="299"/>
      <c r="B147" s="498"/>
      <c r="C147" s="503"/>
      <c r="D147" s="524"/>
      <c r="E147" s="299"/>
    </row>
    <row r="148" spans="1:5" s="485" customFormat="1" x14ac:dyDescent="0.35">
      <c r="A148" s="299"/>
      <c r="B148" s="546" t="str">
        <f>Language!A353</f>
        <v>Barrido de vías con servicio mecanizado</v>
      </c>
      <c r="C148" s="358"/>
      <c r="D148" s="524"/>
      <c r="E148" s="299"/>
    </row>
    <row r="149" spans="1:5" s="485" customFormat="1" x14ac:dyDescent="0.35">
      <c r="A149" s="299"/>
      <c r="B149" s="498" t="str">
        <f>Language!A354</f>
        <v>Frecuencia del servicio barrido mecánico por semana [limpiezas/semana]</v>
      </c>
      <c r="C149" s="8"/>
      <c r="D149" s="524"/>
      <c r="E149" s="299"/>
    </row>
    <row r="150" spans="1:5" s="485" customFormat="1" x14ac:dyDescent="0.35">
      <c r="A150" s="299"/>
      <c r="B150" s="498" t="str">
        <f>Language!A355</f>
        <v>Longitud de vías pavimentadas con servicio de barrido mecanizado [km]</v>
      </c>
      <c r="C150" s="8"/>
      <c r="D150" s="524"/>
      <c r="E150" s="299"/>
    </row>
    <row r="151" spans="1:5" s="485" customFormat="1" x14ac:dyDescent="0.35">
      <c r="A151" s="299"/>
      <c r="B151" s="498" t="str">
        <f>Language!A356</f>
        <v>Costo de la barredora [$$$]</v>
      </c>
      <c r="C151" s="8"/>
      <c r="D151" s="524"/>
      <c r="E151" s="299"/>
    </row>
    <row r="152" spans="1:5" s="485" customFormat="1" x14ac:dyDescent="0.35">
      <c r="A152" s="299"/>
      <c r="B152" s="498" t="str">
        <f>Language!A357</f>
        <v>Tiempo de vida de vehículo utilizado [años]</v>
      </c>
      <c r="C152" s="8"/>
      <c r="D152" s="524"/>
      <c r="E152" s="299"/>
    </row>
    <row r="153" spans="1:5" s="485" customFormat="1" ht="29" x14ac:dyDescent="0.35">
      <c r="A153" s="299"/>
      <c r="B153" s="498" t="str">
        <f>Language!A358</f>
        <v>Rendimiento barredora [km/barredora*día]</v>
      </c>
      <c r="C153" s="8"/>
      <c r="D153" s="524" t="str">
        <f>Language!A378</f>
        <v>Valores indicativos: de 10 a 40 km/persona*día, depende del vehículo utilizado</v>
      </c>
      <c r="E153" s="299"/>
    </row>
    <row r="154" spans="1:5" s="485" customFormat="1" x14ac:dyDescent="0.35">
      <c r="A154" s="299"/>
      <c r="B154" s="498"/>
      <c r="C154" s="503"/>
      <c r="D154" s="524"/>
      <c r="E154" s="299"/>
    </row>
    <row r="155" spans="1:5" s="485" customFormat="1" x14ac:dyDescent="0.35">
      <c r="A155" s="299"/>
      <c r="B155" s="546" t="str">
        <f>Language!A359</f>
        <v>Limpieza de áreas públicas (plazas y otros)</v>
      </c>
      <c r="C155" s="503"/>
      <c r="D155" s="524"/>
      <c r="E155" s="299"/>
    </row>
    <row r="156" spans="1:5" s="485" customFormat="1" x14ac:dyDescent="0.35">
      <c r="A156" s="299"/>
      <c r="B156" s="498" t="str">
        <f>Language!A360</f>
        <v>Frecuencia del servicio por semana [limpiezas/semana]</v>
      </c>
      <c r="C156" s="8"/>
      <c r="D156" s="524"/>
      <c r="E156" s="299"/>
    </row>
    <row r="157" spans="1:5" s="485" customFormat="1" x14ac:dyDescent="0.35">
      <c r="A157" s="299"/>
      <c r="B157" s="498" t="str">
        <f>Language!A361</f>
        <v>Superficie de áreas públicas con servicio de barrido/limpieza urbana (plazas, parques, …) [m2]</v>
      </c>
      <c r="C157" s="8"/>
      <c r="D157" s="524"/>
      <c r="E157" s="299"/>
    </row>
    <row r="158" spans="1:5" s="485" customFormat="1" x14ac:dyDescent="0.35">
      <c r="A158" s="299"/>
      <c r="B158" s="498" t="str">
        <f>Language!A362</f>
        <v>Superficie de áreas públicas con servicio de limpieza urbana [km2]</v>
      </c>
      <c r="C158" s="503">
        <f>C157/1000000</f>
        <v>0</v>
      </c>
      <c r="D158" s="524"/>
      <c r="E158" s="299"/>
    </row>
    <row r="159" spans="1:5" s="485" customFormat="1" x14ac:dyDescent="0.35">
      <c r="A159" s="299"/>
      <c r="B159" s="498" t="str">
        <f>Language!A363</f>
        <v>Eficiencia</v>
      </c>
      <c r="C159" s="106"/>
      <c r="D159" s="524"/>
      <c r="E159" s="299"/>
    </row>
    <row r="160" spans="1:5" s="485" customFormat="1" x14ac:dyDescent="0.35">
      <c r="A160" s="299"/>
      <c r="B160" s="498" t="str">
        <f>Language!A364</f>
        <v>Rendimiento limpieza áreas públicas [hectáreas/barrendero*día]</v>
      </c>
      <c r="C160" s="503">
        <f>IF(C159=Language!A350,0.5,IF(C159=Language!A351,0.35,IF(C159=Language!A352,0.25,)))</f>
        <v>0</v>
      </c>
      <c r="D160" s="524"/>
      <c r="E160" s="299"/>
    </row>
    <row r="161" spans="1:5" s="485" customFormat="1" x14ac:dyDescent="0.35">
      <c r="A161" s="299"/>
      <c r="B161" s="498" t="str">
        <f>Language!A365</f>
        <v>Rendimiento limpieza áreas públicas [m2/barrendero*día]</v>
      </c>
      <c r="C161" s="503">
        <f>C160/100</f>
        <v>0</v>
      </c>
      <c r="D161" s="524"/>
      <c r="E161" s="299"/>
    </row>
    <row r="162" spans="1:5" s="485" customFormat="1" x14ac:dyDescent="0.35">
      <c r="A162" s="299"/>
      <c r="B162" s="498" t="str">
        <f>Language!A366</f>
        <v>Cantidad de basureros públicos []</v>
      </c>
      <c r="C162" s="8"/>
      <c r="D162" s="524"/>
      <c r="E162" s="299"/>
    </row>
    <row r="163" spans="1:5" s="485" customFormat="1" x14ac:dyDescent="0.35">
      <c r="A163" s="299"/>
      <c r="B163" s="498" t="str">
        <f>Language!A367</f>
        <v>Costo unitario de basureros públicos [$$$]</v>
      </c>
      <c r="C163" s="8"/>
      <c r="D163" s="524"/>
      <c r="E163" s="299"/>
    </row>
    <row r="164" spans="1:5" s="485" customFormat="1" x14ac:dyDescent="0.35">
      <c r="A164" s="299"/>
      <c r="B164" s="498" t="str">
        <f>Language!A368</f>
        <v>Tiempo de vida de basureros públicos [años]</v>
      </c>
      <c r="C164" s="8"/>
      <c r="D164" s="524"/>
      <c r="E164" s="299"/>
    </row>
    <row r="165" spans="1:5" s="485" customFormat="1" x14ac:dyDescent="0.35">
      <c r="A165" s="299"/>
      <c r="B165" s="498"/>
      <c r="C165" s="503"/>
      <c r="D165" s="524"/>
      <c r="E165" s="299"/>
    </row>
    <row r="166" spans="1:5" s="485" customFormat="1" x14ac:dyDescent="0.35">
      <c r="A166" s="299"/>
      <c r="B166" s="546" t="str">
        <f>Language!A369</f>
        <v>Costos de personal y materiales</v>
      </c>
      <c r="C166" s="503"/>
      <c r="D166" s="524"/>
      <c r="E166" s="299"/>
    </row>
    <row r="167" spans="1:5" s="485" customFormat="1" ht="43.5" x14ac:dyDescent="0.35">
      <c r="A167" s="299"/>
      <c r="B167" s="498" t="str">
        <f>Language!A370</f>
        <v>Costos de materiales y equipo por kilómetro de vía con barrido manual [$$$/km]</v>
      </c>
      <c r="C167" s="13">
        <f>0.3*Info!C6</f>
        <v>0.3</v>
      </c>
      <c r="D167" s="524" t="str">
        <f>Language!A379</f>
        <v>Materiales como bolsas, equipos como carretillas, pallas etc. Costos de uso de vehículos se incluyen también aquí.
Por defecto = 0.3 USD</v>
      </c>
      <c r="E167" s="537"/>
    </row>
    <row r="168" spans="1:5" s="485" customFormat="1" ht="29" x14ac:dyDescent="0.35">
      <c r="A168" s="299"/>
      <c r="B168" s="498" t="str">
        <f>Language!A371</f>
        <v>Costos de materiales y equipo por kilómetro de vía barrido mecánico [$$$/km]</v>
      </c>
      <c r="C168" s="13">
        <f>1*Info!C6</f>
        <v>1</v>
      </c>
      <c r="D168" s="524" t="str">
        <f>Language!A380</f>
        <v>Debe incluir uso y mantenimiento de vehículos (no el costo capital). Por defecto = 1 USD</v>
      </c>
      <c r="E168" s="537"/>
    </row>
    <row r="169" spans="1:5" s="485" customFormat="1" x14ac:dyDescent="0.35">
      <c r="A169" s="299"/>
      <c r="B169" s="498" t="str">
        <f>Language!A372</f>
        <v>Costos de materiales y equipo por hectárea de área pública barrida [$$$/hectárea]</v>
      </c>
      <c r="C169" s="13">
        <f>0.6*Info!C6</f>
        <v>0.6</v>
      </c>
      <c r="D169" s="524" t="str">
        <f>Language!A381</f>
        <v>Por defecto = 0.6 USD</v>
      </c>
      <c r="E169" s="537"/>
    </row>
    <row r="170" spans="1:5" s="485" customFormat="1" x14ac:dyDescent="0.35">
      <c r="A170" s="299"/>
      <c r="B170" s="498" t="str">
        <f>Language!A373</f>
        <v>Costos de materiales y equipo por m2 de área pública barrida [$$$/m2]</v>
      </c>
      <c r="C170" s="13">
        <f>C169*100</f>
        <v>60</v>
      </c>
      <c r="D170" s="524"/>
      <c r="E170" s="299"/>
    </row>
    <row r="171" spans="1:5" s="485" customFormat="1" x14ac:dyDescent="0.35">
      <c r="A171" s="299"/>
      <c r="B171" s="498" t="str">
        <f>Language!A374</f>
        <v>Salario y beneficios sociales anuales para jefa/e de equipo de barrido/limpieza urbana [$$$/año]</v>
      </c>
      <c r="C171" s="12"/>
      <c r="D171" s="524"/>
      <c r="E171" s="506"/>
    </row>
    <row r="172" spans="1:5" s="485" customFormat="1" x14ac:dyDescent="0.35">
      <c r="A172" s="299"/>
      <c r="B172" s="498" t="str">
        <f>Language!A375</f>
        <v>Otros costos anuales para jefa/e de equipo de limpieza urbana [$$$/año]</v>
      </c>
      <c r="C172" s="12"/>
      <c r="D172" s="524" t="str">
        <f>Language!A382</f>
        <v>Incluye materiales, suministros varios y equipo personal</v>
      </c>
      <c r="E172" s="299"/>
    </row>
    <row r="173" spans="1:5" s="485" customFormat="1" x14ac:dyDescent="0.35">
      <c r="A173" s="299"/>
      <c r="B173" s="498" t="str">
        <f>Language!A376</f>
        <v>Salario y beneficios sociales anuales para trabajador/a de barrido/limpieza urbana [$$$/año]</v>
      </c>
      <c r="C173" s="12"/>
      <c r="D173" s="524"/>
      <c r="E173" s="299"/>
    </row>
    <row r="174" spans="1:5" s="485" customFormat="1" x14ac:dyDescent="0.35">
      <c r="A174" s="299"/>
      <c r="B174" s="498" t="str">
        <f>Language!A377</f>
        <v>Otros costos anuales para trabajador/a de limpieza urbana [$$$/año]</v>
      </c>
      <c r="C174" s="12"/>
      <c r="D174" s="524" t="str">
        <f>Language!A383</f>
        <v>Incluye materiales, suministros varios y equipo personal</v>
      </c>
      <c r="E174" s="299"/>
    </row>
    <row r="175" spans="1:5" s="485" customFormat="1" ht="15" thickBot="1" x14ac:dyDescent="0.4">
      <c r="A175" s="299"/>
      <c r="B175" s="510"/>
      <c r="C175" s="511"/>
      <c r="D175" s="512"/>
      <c r="E175" s="299"/>
    </row>
    <row r="176" spans="1:5" s="485" customFormat="1" x14ac:dyDescent="0.35">
      <c r="A176" s="299"/>
      <c r="B176" s="493" t="str">
        <f>Language!A384</f>
        <v>L) Compostaje, reciclaje y disposición final</v>
      </c>
      <c r="C176" s="494"/>
      <c r="D176" s="523"/>
      <c r="E176" s="299"/>
    </row>
    <row r="177" spans="1:22" s="485" customFormat="1" x14ac:dyDescent="0.35">
      <c r="A177" s="299"/>
      <c r="B177" s="546" t="str">
        <f>Language!A385</f>
        <v>Compostaje</v>
      </c>
      <c r="C177" s="358"/>
      <c r="D177" s="499"/>
      <c r="E177" s="299"/>
    </row>
    <row r="178" spans="1:22" s="301" customFormat="1" ht="29" x14ac:dyDescent="0.35">
      <c r="A178" s="299"/>
      <c r="B178" s="504" t="str">
        <f>Language!A386</f>
        <v>Costos estimados de compostaje (operación, mantenimiento e inversión) por tonelada de residuos orgánicos entrantes a planta de compostaje [$$$/ton]</v>
      </c>
      <c r="C178" s="13">
        <f>20*Info!C6</f>
        <v>20</v>
      </c>
      <c r="D178" s="505" t="str">
        <f>Language!A393</f>
        <v>Por defecto = 20 USD</v>
      </c>
      <c r="E178" s="299"/>
      <c r="M178" s="485"/>
      <c r="N178" s="485"/>
      <c r="O178" s="485"/>
      <c r="P178" s="485"/>
      <c r="Q178" s="485"/>
      <c r="R178" s="485"/>
      <c r="S178" s="485"/>
      <c r="T178" s="485"/>
      <c r="U178" s="485"/>
      <c r="V178" s="485"/>
    </row>
    <row r="179" spans="1:22" s="301" customFormat="1" x14ac:dyDescent="0.35">
      <c r="A179" s="299"/>
      <c r="B179" s="504" t="str">
        <f>Language!A387</f>
        <v>Ingresos estimados por la venta del material compostado [$$$/ton]</v>
      </c>
      <c r="C179" s="13">
        <f>2*Info!C6</f>
        <v>2</v>
      </c>
      <c r="D179" s="505" t="str">
        <f>Language!A394</f>
        <v>Por defecto = 2 USD</v>
      </c>
      <c r="E179" s="299"/>
      <c r="M179" s="485"/>
      <c r="N179" s="485"/>
      <c r="O179" s="485"/>
      <c r="P179" s="485"/>
      <c r="Q179" s="485"/>
      <c r="R179" s="485"/>
      <c r="S179" s="485"/>
      <c r="T179" s="485"/>
      <c r="U179" s="485"/>
      <c r="V179" s="485"/>
    </row>
    <row r="180" spans="1:22" s="301" customFormat="1" x14ac:dyDescent="0.35">
      <c r="A180" s="299"/>
      <c r="B180" s="546" t="str">
        <f>Language!A388</f>
        <v>Reciclaje</v>
      </c>
      <c r="C180" s="358"/>
      <c r="D180" s="505"/>
      <c r="E180" s="299"/>
      <c r="M180" s="485"/>
      <c r="N180" s="485"/>
      <c r="O180" s="485"/>
      <c r="P180" s="485"/>
      <c r="Q180" s="485"/>
      <c r="R180" s="485"/>
      <c r="S180" s="485"/>
      <c r="T180" s="485"/>
      <c r="U180" s="485"/>
      <c r="V180" s="485"/>
    </row>
    <row r="181" spans="1:22" s="301" customFormat="1" ht="29" x14ac:dyDescent="0.35">
      <c r="A181" s="299"/>
      <c r="B181" s="504" t="str">
        <f>Language!A389</f>
        <v>Costos estimados de gestión de reciclables (operación, mantenimiento e inversión) por tonelada de residuos reciclables entrantes a planta de gestión de reciclables [$$$/ton]</v>
      </c>
      <c r="C181" s="13">
        <f>20*Info!C6</f>
        <v>20</v>
      </c>
      <c r="D181" s="505" t="str">
        <f>Language!A395</f>
        <v>Por defecto = 20 USD</v>
      </c>
      <c r="E181" s="299"/>
      <c r="M181" s="485"/>
      <c r="N181" s="485"/>
      <c r="O181" s="485"/>
      <c r="P181" s="485"/>
      <c r="Q181" s="485"/>
      <c r="R181" s="485"/>
      <c r="S181" s="485"/>
      <c r="T181" s="485"/>
      <c r="U181" s="485"/>
      <c r="V181" s="485"/>
    </row>
    <row r="182" spans="1:22" s="301" customFormat="1" x14ac:dyDescent="0.35">
      <c r="A182" s="299"/>
      <c r="B182" s="504" t="str">
        <f>Language!A390</f>
        <v>Ingresos estimados por la venta del material clasificado [$$$/ton]</v>
      </c>
      <c r="C182" s="13">
        <f>14*Info!C6</f>
        <v>14</v>
      </c>
      <c r="D182" s="505" t="str">
        <f>Language!A396</f>
        <v>Por defecto = 14 USD</v>
      </c>
      <c r="E182" s="299"/>
      <c r="M182" s="485"/>
      <c r="N182" s="485"/>
      <c r="O182" s="485"/>
      <c r="P182" s="485"/>
      <c r="Q182" s="485"/>
      <c r="R182" s="485"/>
      <c r="S182" s="485"/>
      <c r="T182" s="485"/>
      <c r="U182" s="485"/>
      <c r="V182" s="485"/>
    </row>
    <row r="183" spans="1:22" s="301" customFormat="1" x14ac:dyDescent="0.35">
      <c r="A183" s="299"/>
      <c r="B183" s="546" t="str">
        <f>Language!A391</f>
        <v>Disposición final</v>
      </c>
      <c r="C183" s="358"/>
      <c r="D183" s="505"/>
      <c r="E183" s="299"/>
      <c r="M183" s="485"/>
      <c r="N183" s="485"/>
      <c r="O183" s="485"/>
      <c r="P183" s="485"/>
      <c r="Q183" s="485"/>
      <c r="R183" s="485"/>
      <c r="S183" s="485"/>
      <c r="T183" s="485"/>
      <c r="U183" s="485"/>
      <c r="V183" s="485"/>
    </row>
    <row r="184" spans="1:22" s="301" customFormat="1" x14ac:dyDescent="0.35">
      <c r="A184" s="299"/>
      <c r="B184" s="504" t="str">
        <f>Language!A392</f>
        <v>Costos estimados de disposición final (operación, mantenimiento y inversión) por tonelada $$$/ton]</v>
      </c>
      <c r="C184" s="13">
        <f>20*Info!C6</f>
        <v>20</v>
      </c>
      <c r="D184" s="505" t="str">
        <f>Language!A397</f>
        <v>Por defecto = 20 USD</v>
      </c>
      <c r="E184" s="299"/>
      <c r="M184" s="485"/>
      <c r="N184" s="485"/>
      <c r="O184" s="485"/>
      <c r="P184" s="485"/>
      <c r="Q184" s="485"/>
      <c r="R184" s="485"/>
      <c r="S184" s="485"/>
      <c r="T184" s="485"/>
      <c r="U184" s="485"/>
      <c r="V184" s="485"/>
    </row>
    <row r="185" spans="1:22" s="301" customFormat="1" ht="15" thickBot="1" x14ac:dyDescent="0.4">
      <c r="A185" s="299"/>
      <c r="B185" s="510"/>
      <c r="C185" s="511"/>
      <c r="D185" s="547"/>
      <c r="E185" s="299"/>
      <c r="M185" s="485"/>
      <c r="N185" s="485"/>
      <c r="O185" s="485"/>
      <c r="P185" s="485"/>
      <c r="Q185" s="485"/>
      <c r="R185" s="485"/>
      <c r="S185" s="485"/>
      <c r="T185" s="485"/>
      <c r="U185" s="485"/>
      <c r="V185" s="485"/>
    </row>
    <row r="186" spans="1:22" s="301" customFormat="1" x14ac:dyDescent="0.35">
      <c r="A186" s="299"/>
      <c r="B186" s="493" t="str">
        <f>Language!A398</f>
        <v>M) Administración, planificación y monitoreo y formación, educación y comunicación</v>
      </c>
      <c r="C186" s="494"/>
      <c r="D186" s="523"/>
      <c r="E186" s="299"/>
      <c r="M186" s="485"/>
      <c r="N186" s="485"/>
      <c r="O186" s="485"/>
      <c r="P186" s="485"/>
      <c r="Q186" s="485"/>
      <c r="R186" s="485"/>
      <c r="S186" s="485"/>
      <c r="T186" s="485"/>
      <c r="U186" s="485"/>
      <c r="V186" s="485"/>
    </row>
    <row r="187" spans="1:22" s="301" customFormat="1" x14ac:dyDescent="0.35">
      <c r="A187" s="299"/>
      <c r="B187" s="546" t="str">
        <f>'5) Calculos'!B252</f>
        <v>Estimación de costos administrativos</v>
      </c>
      <c r="C187" s="358"/>
      <c r="D187" s="548"/>
      <c r="E187" s="299"/>
      <c r="M187" s="485"/>
      <c r="N187" s="485"/>
      <c r="O187" s="485"/>
      <c r="P187" s="485"/>
      <c r="Q187" s="485"/>
      <c r="R187" s="485"/>
      <c r="S187" s="485"/>
      <c r="T187" s="485"/>
      <c r="U187" s="485"/>
      <c r="V187" s="485"/>
    </row>
    <row r="188" spans="1:22" s="301" customFormat="1" x14ac:dyDescent="0.35">
      <c r="A188" s="299"/>
      <c r="B188" s="504" t="str">
        <f>'5) Calculos'!B253</f>
        <v>Porcentaje del total de costos anuales [%]</v>
      </c>
      <c r="C188" s="17">
        <v>0.1</v>
      </c>
      <c r="D188" s="499" t="str">
        <f>Language!A399</f>
        <v>Por defecto = 10</v>
      </c>
      <c r="E188" s="299"/>
      <c r="M188" s="485"/>
      <c r="N188" s="485"/>
      <c r="O188" s="485"/>
      <c r="P188" s="485"/>
      <c r="Q188" s="485"/>
      <c r="R188" s="485"/>
      <c r="S188" s="485"/>
      <c r="T188" s="485"/>
      <c r="U188" s="485"/>
      <c r="V188" s="485"/>
    </row>
    <row r="189" spans="1:22" s="301" customFormat="1" x14ac:dyDescent="0.35">
      <c r="A189" s="299"/>
      <c r="B189" s="546" t="str">
        <f>'5) Calculos'!B255</f>
        <v>Estimación de costos de planificación y fiscalización</v>
      </c>
      <c r="C189" s="358"/>
      <c r="D189" s="548"/>
      <c r="E189" s="299"/>
      <c r="M189" s="485"/>
      <c r="N189" s="485"/>
      <c r="O189" s="485"/>
      <c r="P189" s="485"/>
      <c r="Q189" s="485"/>
      <c r="R189" s="485"/>
      <c r="S189" s="485"/>
      <c r="T189" s="485"/>
      <c r="U189" s="485"/>
      <c r="V189" s="485"/>
    </row>
    <row r="190" spans="1:22" s="301" customFormat="1" x14ac:dyDescent="0.35">
      <c r="A190" s="299"/>
      <c r="B190" s="504" t="str">
        <f>'5) Calculos'!B256</f>
        <v>Porcentaje del total de costos anuales [%]</v>
      </c>
      <c r="C190" s="17">
        <v>0.02</v>
      </c>
      <c r="D190" s="499" t="str">
        <f>Language!A400</f>
        <v>Por defecto = 2</v>
      </c>
      <c r="E190" s="299"/>
      <c r="M190" s="485"/>
      <c r="N190" s="485"/>
      <c r="O190" s="485"/>
      <c r="P190" s="485"/>
      <c r="Q190" s="485"/>
      <c r="R190" s="485"/>
      <c r="S190" s="485"/>
      <c r="T190" s="485"/>
      <c r="U190" s="485"/>
      <c r="V190" s="485"/>
    </row>
    <row r="191" spans="1:22" s="301" customFormat="1" x14ac:dyDescent="0.35">
      <c r="A191" s="299"/>
      <c r="B191" s="546" t="str">
        <f>'5) Calculos'!B258</f>
        <v>Estimación de costos blandos (formación, educación, comunicación)</v>
      </c>
      <c r="C191" s="358"/>
      <c r="D191" s="548"/>
      <c r="E191" s="299"/>
      <c r="M191" s="485"/>
      <c r="N191" s="485"/>
      <c r="O191" s="485"/>
      <c r="P191" s="485"/>
      <c r="Q191" s="485"/>
      <c r="R191" s="485"/>
      <c r="S191" s="485"/>
      <c r="T191" s="485"/>
      <c r="U191" s="485"/>
      <c r="V191" s="485"/>
    </row>
    <row r="192" spans="1:22" s="301" customFormat="1" x14ac:dyDescent="0.35">
      <c r="A192" s="299"/>
      <c r="B192" s="504" t="str">
        <f>'5) Calculos'!B259</f>
        <v>Porcentaje del total de costos anuales [%]</v>
      </c>
      <c r="C192" s="17">
        <v>0.05</v>
      </c>
      <c r="D192" s="499" t="str">
        <f>Language!A401</f>
        <v>Por defecto = 5</v>
      </c>
      <c r="E192" s="299"/>
      <c r="M192" s="485"/>
      <c r="N192" s="485"/>
      <c r="O192" s="485"/>
      <c r="P192" s="485"/>
      <c r="Q192" s="485"/>
      <c r="R192" s="485"/>
      <c r="S192" s="485"/>
      <c r="T192" s="485"/>
      <c r="U192" s="485"/>
      <c r="V192" s="485"/>
    </row>
    <row r="193" spans="1:22" s="301" customFormat="1" ht="15" thickBot="1" x14ac:dyDescent="0.4">
      <c r="A193" s="299"/>
      <c r="B193" s="510"/>
      <c r="C193" s="511"/>
      <c r="D193" s="547"/>
      <c r="E193" s="299"/>
      <c r="M193" s="485"/>
      <c r="N193" s="485"/>
      <c r="O193" s="485"/>
      <c r="P193" s="485"/>
      <c r="Q193" s="485"/>
      <c r="R193" s="485"/>
      <c r="S193" s="485"/>
      <c r="T193" s="485"/>
      <c r="U193" s="485"/>
      <c r="V193" s="485"/>
    </row>
    <row r="194" spans="1:22" x14ac:dyDescent="0.35"/>
  </sheetData>
  <sheetProtection algorithmName="SHA-512" hashValue="ZQ3M6YSoUvO03XYhFg0CEEsvo+ZD1C8haQ5wCQUzRLcgHA7QPZG72vILHFT0KQoQeStynG3XPjU0iGFAOfk3gw==" saltValue="5QvXtpKl1+3O82028xBJQA==" spinCount="100000" sheet="1" formatCells="0" formatColumns="0" formatRows="0" insertColumns="0" insertRows="0" insertHyperlinks="0" deleteColumns="0" deleteRows="0" sort="0" autoFilter="0" pivotTables="0"/>
  <scenarios current="0" show="0">
    <scenario name="Household_size" locked="1" count="1" user="Author" comment="Creado por Autor el 23/06/2020">
      <inputCells r="C10" val="4"/>
    </scenario>
  </scenarios>
  <mergeCells count="3">
    <mergeCell ref="G138:G139"/>
    <mergeCell ref="B5:D5"/>
    <mergeCell ref="B4:D4"/>
  </mergeCells>
  <conditionalFormatting sqref="C66:C71">
    <cfRule type="containsText" dxfId="26" priority="2" operator="containsText" text="Definir velocidad">
      <formula>NOT(ISERROR(SEARCH("Definir velocidad",C66)))</formula>
    </cfRule>
  </conditionalFormatting>
  <conditionalFormatting sqref="C56">
    <cfRule type="containsText" dxfId="25" priority="1" operator="containsText" text="Definir velocidad">
      <formula>NOT(ISERROR(SEARCH("Definir velocidad",C56)))</formula>
    </cfRule>
  </conditionalFormatting>
  <dataValidations count="10">
    <dataValidation type="whole" operator="greaterThanOrEqual" allowBlank="1" showInputMessage="1" showErrorMessage="1" error="Numero entero, rondeado" sqref="C9">
      <formula1>0</formula1>
    </dataValidation>
    <dataValidation type="decimal" operator="greaterThanOrEqual" allowBlank="1" showInputMessage="1" showErrorMessage="1" error="Numero" sqref="C10">
      <formula1>0</formula1>
    </dataValidation>
    <dataValidation type="decimal" allowBlank="1" showInputMessage="1" showErrorMessage="1" sqref="C11">
      <formula1>0</formula1>
      <formula2>10000</formula2>
    </dataValidation>
    <dataValidation type="decimal" operator="greaterThanOrEqual" allowBlank="1" showInputMessage="1" showErrorMessage="1" sqref="C15 C129:C130 C132:C139">
      <formula1>0</formula1>
    </dataValidation>
    <dataValidation type="decimal" operator="greaterThanOrEqual" allowBlank="1" showInputMessage="1" showErrorMessage="1" error="Entrar un valor numerico" sqref="C13:C14 C48 C27:C29 C31:C35 C38:C39 C41:C46 C74:C82 C56:C62 C98:C103 C106:C110 C113:C115 C86:C89 C160:C174 C16:C18 C143:C144 C118:C125 C184 C178:C179 C181:C182 C146:C147 C149:C158 C67:C71">
      <formula1>0</formula1>
    </dataValidation>
    <dataValidation type="decimal" allowBlank="1" showInputMessage="1" showErrorMessage="1" error="Entrar un porcentaje" sqref="C21:C25">
      <formula1>0</formula1>
      <formula2>1</formula2>
    </dataValidation>
    <dataValidation type="decimal" operator="greaterThanOrEqual" allowBlank="1" showInputMessage="1" showErrorMessage="1" error="Entrar un porcentaje" sqref="C47 C49">
      <formula1>0</formula1>
    </dataValidation>
    <dataValidation type="whole" allowBlank="1" showInputMessage="1" showErrorMessage="1" error="1 - 7" sqref="C85">
      <formula1>1</formula1>
      <formula2>7</formula2>
    </dataValidation>
    <dataValidation type="whole" operator="greaterThanOrEqual" allowBlank="1" showInputMessage="1" showErrorMessage="1" error="Entrar un valor numerico" sqref="C65">
      <formula1>0</formula1>
    </dataValidation>
    <dataValidation operator="greaterThanOrEqual" allowBlank="1" showInputMessage="1" showErrorMessage="1" error="Entrar un valor numerico" sqref="C66"/>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4">
        <x14:dataValidation type="list" operator="greaterThanOrEqual" allowBlank="1" showInputMessage="1" showErrorMessage="1" error="Entrar un valor numerico">
          <x14:formula1>
            <xm:f>Language!$A$277:$A$278</xm:f>
          </x14:formula1>
          <xm:sqref>C90:C92</xm:sqref>
        </x14:dataValidation>
        <x14:dataValidation type="list" operator="greaterThanOrEqual" allowBlank="1" showInputMessage="1" showErrorMessage="1" error="Entrar un valor numerico">
          <x14:formula1>
            <xm:f>Language!$A$350:$A$352</xm:f>
          </x14:formula1>
          <xm:sqref>C159 C145</xm:sqref>
        </x14:dataValidation>
        <x14:dataValidation type="list" operator="greaterThanOrEqual" allowBlank="1" showInputMessage="1" showErrorMessage="1" error="Entrar un valor numerico">
          <x14:formula1>
            <xm:f>Language!$A$232:$A$238</xm:f>
          </x14:formula1>
          <xm:sqref>C53</xm:sqref>
        </x14:dataValidation>
        <x14:dataValidation type="list" operator="greaterThanOrEqual" allowBlank="1" showInputMessage="1" showErrorMessage="1" error="Entrar un valor numerico">
          <x14:formula1>
            <xm:f>Language!$A$45:$A$46</xm:f>
          </x14:formula1>
          <xm:sqref>C52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ED84"/>
  <sheetViews>
    <sheetView zoomScale="55" zoomScaleNormal="55" zoomScaleSheetLayoutView="40" zoomScalePageLayoutView="40" workbookViewId="0">
      <selection activeCell="AU37" sqref="AU37"/>
    </sheetView>
  </sheetViews>
  <sheetFormatPr defaultColWidth="0" defaultRowHeight="14.5" zeroHeight="1" x14ac:dyDescent="0.35"/>
  <cols>
    <col min="1" max="1" width="9.1796875" style="299" customWidth="1"/>
    <col min="2" max="2" width="95" style="299" customWidth="1"/>
    <col min="3" max="3" width="9.1796875" style="299" customWidth="1"/>
    <col min="4" max="6" width="2.81640625" style="299" customWidth="1"/>
    <col min="7" max="7" width="9.1796875" style="299" customWidth="1"/>
    <col min="8" max="8" width="52.453125" style="299" customWidth="1"/>
    <col min="9" max="9" width="1.54296875" style="299" customWidth="1"/>
    <col min="10" max="10" width="4.7265625" style="299" customWidth="1"/>
    <col min="11" max="11" width="20.81640625" style="299" customWidth="1"/>
    <col min="12" max="12" width="9.7265625" style="299" customWidth="1"/>
    <col min="13" max="13" width="41.453125" style="299" customWidth="1"/>
    <col min="14" max="14" width="16.7265625" style="299" customWidth="1"/>
    <col min="15" max="15" width="14.81640625" style="299" customWidth="1"/>
    <col min="16" max="16" width="25" style="299" customWidth="1"/>
    <col min="17" max="17" width="5.81640625" style="299" customWidth="1"/>
    <col min="18" max="18" width="6.26953125" style="299" customWidth="1"/>
    <col min="19" max="19" width="54.1796875" style="299" bestFit="1" customWidth="1"/>
    <col min="20" max="20" width="17.453125" style="299" bestFit="1" customWidth="1"/>
    <col min="21" max="21" width="22.26953125" style="299" bestFit="1" customWidth="1"/>
    <col min="22" max="22" width="5" style="299" customWidth="1"/>
    <col min="23" max="23" width="14.1796875" style="299" customWidth="1"/>
    <col min="24" max="24" width="9.1796875" style="299" customWidth="1"/>
    <col min="25" max="25" width="11.453125" style="299" customWidth="1"/>
    <col min="26" max="26" width="10.453125" style="299" customWidth="1"/>
    <col min="27" max="43" width="9.1796875" style="299" customWidth="1"/>
    <col min="44" max="44" width="7" style="299" customWidth="1"/>
    <col min="45" max="45" width="2.54296875" style="299" customWidth="1"/>
    <col min="46" max="46" width="7.54296875" style="299" customWidth="1"/>
    <col min="47" max="47" width="10.81640625" style="299" customWidth="1"/>
    <col min="48" max="48" width="86.54296875" style="299" customWidth="1"/>
    <col min="49" max="49" width="12.54296875" style="299" bestFit="1" customWidth="1"/>
    <col min="50" max="50" width="5.81640625" style="299" bestFit="1" customWidth="1"/>
    <col min="51" max="51" width="13.7265625" style="299" bestFit="1" customWidth="1"/>
    <col min="52" max="52" width="7.81640625" style="299" bestFit="1" customWidth="1"/>
    <col min="53" max="53" width="13.7265625" style="299" bestFit="1" customWidth="1"/>
    <col min="54" max="54" width="7.81640625" style="299" bestFit="1" customWidth="1"/>
    <col min="55" max="55" width="13.7265625" style="299" bestFit="1" customWidth="1"/>
    <col min="56" max="56" width="7.81640625" style="299" bestFit="1" customWidth="1"/>
    <col min="57" max="57" width="13.7265625" style="299" bestFit="1" customWidth="1"/>
    <col min="58" max="58" width="7.81640625" style="299" bestFit="1" customWidth="1"/>
    <col min="59" max="59" width="13.7265625" style="299" bestFit="1" customWidth="1"/>
    <col min="60" max="60" width="7.81640625" style="299" bestFit="1" customWidth="1"/>
    <col min="61" max="61" width="13.7265625" style="299" bestFit="1" customWidth="1"/>
    <col min="62" max="62" width="7.81640625" style="299" bestFit="1" customWidth="1"/>
    <col min="63" max="63" width="16.26953125" style="299" customWidth="1"/>
    <col min="64" max="64" width="7" style="299" bestFit="1" customWidth="1"/>
    <col min="65" max="65" width="13.7265625" style="299" bestFit="1" customWidth="1"/>
    <col min="66" max="66" width="7" style="299" bestFit="1" customWidth="1"/>
    <col min="67" max="73" width="9.1796875" style="299" customWidth="1"/>
    <col min="74" max="77" width="12.453125" style="299" bestFit="1" customWidth="1"/>
    <col min="78" max="78" width="11.7265625" style="299" bestFit="1" customWidth="1"/>
    <col min="79" max="79" width="12.453125" style="299" bestFit="1" customWidth="1"/>
    <col min="80" max="80" width="11.7265625" style="299" bestFit="1" customWidth="1"/>
    <col min="81" max="82" width="12.453125" style="299" bestFit="1" customWidth="1"/>
    <col min="83" max="83" width="9.1796875" style="299" customWidth="1"/>
    <col min="84" max="84" width="12.26953125" style="299" bestFit="1" customWidth="1"/>
    <col min="85" max="85" width="9.1796875" style="299" customWidth="1"/>
    <col min="86" max="86" width="12.26953125" style="299" bestFit="1" customWidth="1"/>
    <col min="87" max="87" width="9.1796875" style="299" customWidth="1"/>
    <col min="88" max="88" width="12.26953125" style="299" bestFit="1" customWidth="1"/>
    <col min="89" max="89" width="9.1796875" style="299" customWidth="1"/>
    <col min="90" max="90" width="12.26953125" style="299" bestFit="1" customWidth="1"/>
    <col min="91" max="91" width="9.1796875" style="299" customWidth="1"/>
    <col min="92" max="92" width="12.26953125" style="299" bestFit="1" customWidth="1"/>
    <col min="93" max="93" width="9.1796875" style="299" customWidth="1"/>
    <col min="94" max="94" width="12.26953125" style="299" bestFit="1" customWidth="1"/>
    <col min="95" max="95" width="9.1796875" style="299" customWidth="1"/>
    <col min="96" max="96" width="12.26953125" style="299" bestFit="1" customWidth="1"/>
    <col min="97" max="97" width="9.1796875" style="299" customWidth="1"/>
    <col min="98" max="98" width="12.26953125" style="299" bestFit="1" customWidth="1"/>
    <col min="99" max="134" width="9.1796875" style="299" customWidth="1"/>
    <col min="135" max="16384" width="9.1796875" style="299" hidden="1"/>
  </cols>
  <sheetData>
    <row r="1" spans="2:117" ht="15" thickBot="1" x14ac:dyDescent="0.4"/>
    <row r="2" spans="2:117" ht="15" customHeight="1" x14ac:dyDescent="0.35">
      <c r="B2" s="954" t="str">
        <f>Language!A68</f>
        <v>Indicaciones de uso:
Completar información de cada celda en blanco - si no conocidos, algunos resultados no aparecerán</v>
      </c>
      <c r="C2" s="955"/>
      <c r="D2" s="955"/>
      <c r="E2" s="955"/>
      <c r="F2" s="955"/>
      <c r="G2" s="955"/>
      <c r="H2" s="955"/>
      <c r="I2" s="956"/>
      <c r="J2" s="549"/>
      <c r="BT2" s="457"/>
      <c r="BU2" s="550"/>
      <c r="BV2" s="550"/>
      <c r="BW2" s="550"/>
      <c r="BX2" s="550"/>
      <c r="BY2" s="550"/>
      <c r="BZ2" s="550"/>
      <c r="CA2" s="550"/>
      <c r="CB2" s="550"/>
      <c r="CC2" s="550"/>
      <c r="CD2" s="550"/>
      <c r="CE2" s="550"/>
      <c r="CF2" s="550"/>
      <c r="CG2" s="550"/>
      <c r="CH2" s="550"/>
      <c r="CI2" s="550"/>
      <c r="CJ2" s="550"/>
      <c r="CK2" s="550"/>
      <c r="CL2" s="550"/>
      <c r="CM2" s="550"/>
      <c r="CN2" s="550"/>
      <c r="CO2" s="550"/>
      <c r="CP2" s="550"/>
      <c r="CQ2" s="550"/>
      <c r="CR2" s="550"/>
      <c r="CS2" s="550"/>
      <c r="CT2" s="551"/>
      <c r="CW2" s="457"/>
      <c r="CX2" s="550"/>
      <c r="CY2" s="550"/>
      <c r="CZ2" s="550"/>
      <c r="DA2" s="550"/>
      <c r="DB2" s="550"/>
      <c r="DC2" s="550"/>
      <c r="DD2" s="550"/>
      <c r="DE2" s="550"/>
      <c r="DF2" s="550"/>
      <c r="DG2" s="550"/>
      <c r="DH2" s="550"/>
      <c r="DI2" s="550"/>
      <c r="DJ2" s="550"/>
      <c r="DK2" s="550"/>
      <c r="DL2" s="550"/>
      <c r="DM2" s="551"/>
    </row>
    <row r="3" spans="2:117" ht="15.75" customHeight="1" x14ac:dyDescent="0.35">
      <c r="B3" s="957"/>
      <c r="C3" s="958"/>
      <c r="D3" s="958"/>
      <c r="E3" s="958"/>
      <c r="F3" s="958"/>
      <c r="G3" s="958"/>
      <c r="H3" s="958"/>
      <c r="I3" s="959"/>
      <c r="J3" s="549"/>
      <c r="AV3" s="552"/>
      <c r="BT3" s="304"/>
      <c r="CT3" s="553"/>
      <c r="CW3" s="304"/>
      <c r="DM3" s="553"/>
    </row>
    <row r="4" spans="2:117" ht="30" customHeight="1" thickBot="1" x14ac:dyDescent="0.4">
      <c r="B4" s="960"/>
      <c r="C4" s="961"/>
      <c r="D4" s="961"/>
      <c r="E4" s="961"/>
      <c r="F4" s="961"/>
      <c r="G4" s="961"/>
      <c r="H4" s="961"/>
      <c r="I4" s="962"/>
      <c r="J4" s="549"/>
      <c r="BT4" s="304"/>
      <c r="CT4" s="553"/>
      <c r="CW4" s="304"/>
      <c r="DM4" s="553"/>
    </row>
    <row r="5" spans="2:117" ht="15" thickBot="1" x14ac:dyDescent="0.4">
      <c r="BT5" s="304"/>
      <c r="CT5" s="553"/>
      <c r="CW5" s="304"/>
      <c r="DM5" s="553"/>
    </row>
    <row r="6" spans="2:117" ht="36.5" thickBot="1" x14ac:dyDescent="0.4">
      <c r="B6" s="977" t="str">
        <f>Language!A67</f>
        <v>Fotografía del estado actual de la gestión de los residuos sólidos</v>
      </c>
      <c r="C6" s="978"/>
      <c r="D6" s="978"/>
      <c r="E6" s="978"/>
      <c r="F6" s="978"/>
      <c r="G6" s="978"/>
      <c r="H6" s="978"/>
      <c r="I6" s="978"/>
      <c r="J6" s="979"/>
      <c r="K6" s="979"/>
      <c r="L6" s="979"/>
      <c r="M6" s="979"/>
      <c r="N6" s="979"/>
      <c r="O6" s="979"/>
      <c r="P6" s="980"/>
      <c r="Q6" s="554"/>
      <c r="R6" s="301"/>
      <c r="S6" s="989" t="str">
        <f>S7</f>
        <v>Resumen de costos e ingresos [$$$/año]</v>
      </c>
      <c r="T6" s="979"/>
      <c r="U6" s="979"/>
      <c r="V6" s="979"/>
      <c r="W6" s="979"/>
      <c r="X6" s="979"/>
      <c r="Y6" s="979"/>
      <c r="Z6" s="979"/>
      <c r="AA6" s="979"/>
      <c r="AB6" s="979"/>
      <c r="AC6" s="979"/>
      <c r="AD6" s="979"/>
      <c r="AE6" s="979"/>
      <c r="AF6" s="979"/>
      <c r="AG6" s="979"/>
      <c r="AH6" s="979"/>
      <c r="AI6" s="979"/>
      <c r="AJ6" s="979"/>
      <c r="AK6" s="979"/>
      <c r="AL6" s="979"/>
      <c r="AM6" s="979"/>
      <c r="AN6" s="979"/>
      <c r="AO6" s="979"/>
      <c r="AP6" s="979"/>
      <c r="AQ6" s="979"/>
      <c r="AR6" s="980"/>
      <c r="AV6" s="989" t="str">
        <f>Language!A778</f>
        <v>Resultados de la modelización</v>
      </c>
      <c r="AW6" s="979"/>
      <c r="AX6" s="979"/>
      <c r="AY6" s="979"/>
      <c r="AZ6" s="979"/>
      <c r="BA6" s="979"/>
      <c r="BB6" s="979"/>
      <c r="BC6" s="979"/>
      <c r="BD6" s="979"/>
      <c r="BE6" s="979"/>
      <c r="BF6" s="979"/>
      <c r="BG6" s="979"/>
      <c r="BH6" s="979"/>
      <c r="BI6" s="979"/>
      <c r="BJ6" s="979"/>
      <c r="BK6" s="979"/>
      <c r="BL6" s="979"/>
      <c r="BM6" s="979"/>
      <c r="BN6" s="980"/>
      <c r="BT6" s="304"/>
      <c r="CT6" s="553"/>
      <c r="CW6" s="304"/>
      <c r="DM6" s="553"/>
    </row>
    <row r="7" spans="2:117" ht="47.25" customHeight="1" thickBot="1" x14ac:dyDescent="0.4">
      <c r="B7" s="981" t="str">
        <f>Language!$A$70</f>
        <v>Entidad gestora</v>
      </c>
      <c r="C7" s="982"/>
      <c r="D7" s="982"/>
      <c r="E7" s="982"/>
      <c r="F7" s="982"/>
      <c r="G7" s="982"/>
      <c r="H7" s="555">
        <f>'0) Intro'!F8</f>
        <v>0</v>
      </c>
      <c r="I7" s="556"/>
      <c r="J7" s="557"/>
      <c r="K7" s="550"/>
      <c r="L7" s="550"/>
      <c r="M7" s="550"/>
      <c r="N7" s="550"/>
      <c r="O7" s="550"/>
      <c r="P7" s="551"/>
      <c r="S7" s="966" t="str">
        <f>Language!A115</f>
        <v>Resumen de costos e ingresos [$$$/año]</v>
      </c>
      <c r="T7" s="967"/>
      <c r="U7" s="968"/>
      <c r="V7" s="1053" t="str">
        <f>Language!A875</f>
        <v>Tabla 4: Resumen de costos, presupuesto e ingresos</v>
      </c>
      <c r="AR7" s="553"/>
      <c r="AV7" s="558"/>
      <c r="AW7" s="1000" t="str">
        <f>Language!A779</f>
        <v>Caso real actual</v>
      </c>
      <c r="AX7" s="1001"/>
      <c r="AY7" s="1004" t="str">
        <f>Language!A780</f>
        <v>Recolección por acera</v>
      </c>
      <c r="AZ7" s="1005"/>
      <c r="BA7" s="1005"/>
      <c r="BB7" s="1006"/>
      <c r="BC7" s="1004" t="str">
        <f>Language!A781</f>
        <v>Recolección por esquina</v>
      </c>
      <c r="BD7" s="1005"/>
      <c r="BE7" s="1005"/>
      <c r="BF7" s="1006"/>
      <c r="BG7" s="1004" t="str">
        <f>Language!A782</f>
        <v>Recolección con contenedores</v>
      </c>
      <c r="BH7" s="1005"/>
      <c r="BI7" s="1005"/>
      <c r="BJ7" s="1006"/>
      <c r="BK7" s="1004" t="str">
        <f>Language!A783</f>
        <v>Recolección diferenciada con contenedores</v>
      </c>
      <c r="BL7" s="1005"/>
      <c r="BM7" s="1005"/>
      <c r="BN7" s="1006"/>
      <c r="BT7" s="304"/>
      <c r="CT7" s="553"/>
      <c r="CW7" s="304"/>
      <c r="DM7" s="553"/>
    </row>
    <row r="8" spans="2:117" ht="19" thickBot="1" x14ac:dyDescent="0.5">
      <c r="B8" s="972" t="str">
        <f>Language!$A$71</f>
        <v>Ciudad</v>
      </c>
      <c r="C8" s="973"/>
      <c r="D8" s="973"/>
      <c r="E8" s="973"/>
      <c r="F8" s="973"/>
      <c r="G8" s="973"/>
      <c r="H8" s="559">
        <f>'0) Intro'!F9</f>
        <v>0</v>
      </c>
      <c r="I8" s="560"/>
      <c r="J8" s="561"/>
      <c r="P8" s="553"/>
      <c r="S8" s="972" t="str">
        <f>'1) Costos'!B8</f>
        <v>Prestación del servicio</v>
      </c>
      <c r="T8" s="973"/>
      <c r="U8" s="205">
        <f>SUM('1) Costos'!J10:J744)</f>
        <v>17000000</v>
      </c>
      <c r="V8" s="1054"/>
      <c r="AR8" s="553"/>
      <c r="AV8" s="562" t="str">
        <f>Language!A744</f>
        <v>Resumen de costos</v>
      </c>
      <c r="AW8" s="1002"/>
      <c r="AX8" s="1003"/>
      <c r="AY8" s="1007" t="str">
        <f>Language!A784</f>
        <v>Sin estación de transferencia</v>
      </c>
      <c r="AZ8" s="1008"/>
      <c r="BA8" s="1009" t="str">
        <f>Language!A785</f>
        <v>Con estación de transferencia</v>
      </c>
      <c r="BB8" s="1008"/>
      <c r="BC8" s="1007" t="str">
        <f>Language!A784</f>
        <v>Sin estación de transferencia</v>
      </c>
      <c r="BD8" s="1008"/>
      <c r="BE8" s="1007" t="str">
        <f>Language!A785</f>
        <v>Con estación de transferencia</v>
      </c>
      <c r="BF8" s="1008"/>
      <c r="BG8" s="1007" t="str">
        <f>Language!A784</f>
        <v>Sin estación de transferencia</v>
      </c>
      <c r="BH8" s="1008"/>
      <c r="BI8" s="1007" t="str">
        <f>Language!A785</f>
        <v>Con estación de transferencia</v>
      </c>
      <c r="BJ8" s="1008"/>
      <c r="BK8" s="1007" t="str">
        <f>Language!A784</f>
        <v>Sin estación de transferencia</v>
      </c>
      <c r="BL8" s="1027"/>
      <c r="BM8" s="1007" t="str">
        <f>Language!A785</f>
        <v>Con estación de transferencia</v>
      </c>
      <c r="BN8" s="1008"/>
      <c r="BT8" s="304"/>
      <c r="CT8" s="553"/>
      <c r="CW8" s="304"/>
      <c r="DM8" s="553"/>
    </row>
    <row r="9" spans="2:117" ht="18.5" x14ac:dyDescent="0.45">
      <c r="B9" s="972" t="str">
        <f>Language!$A$72</f>
        <v>Presupuesto anual [$$$/año]</v>
      </c>
      <c r="C9" s="973"/>
      <c r="D9" s="973"/>
      <c r="E9" s="973"/>
      <c r="F9" s="973"/>
      <c r="G9" s="973"/>
      <c r="H9" s="559">
        <f>'0) Intro'!F10</f>
        <v>0</v>
      </c>
      <c r="I9" s="560"/>
      <c r="J9" s="561"/>
      <c r="P9" s="553"/>
      <c r="S9" s="563" t="str">
        <f>Language!A24</f>
        <v>Barrido de vías y áreas públicas</v>
      </c>
      <c r="T9" s="564">
        <f>SUM('1) Costos'!J11:J27,'1) Costos'!J137:J151,'1) Costos'!J264:J313,'1) Costos'!J558:J567,'1) Costos'!J635:J649)</f>
        <v>1000000</v>
      </c>
      <c r="U9" s="207"/>
      <c r="V9" s="1054"/>
      <c r="AR9" s="553"/>
      <c r="AV9" s="565" t="str">
        <f>Language!A763</f>
        <v>Servicio de barrido/limpieza urbana</v>
      </c>
      <c r="AW9" s="566">
        <f>IFERROR('4) Resultados'!T9+'4) Resultados'!$T$10*'1) Costos'!J968,"")</f>
        <v>1000000</v>
      </c>
      <c r="AX9" s="209">
        <f t="shared" ref="AX9:AX17" si="0">IFERROR(AW9/$AW$18,"")</f>
        <v>4.9701789264413522E-2</v>
      </c>
      <c r="AY9" s="567">
        <f>IFERROR(AY67,"")</f>
        <v>0</v>
      </c>
      <c r="AZ9" s="210" t="str">
        <f t="shared" ref="AZ9:AZ17" si="1">IFERROR(AY9/$AY$18,"")</f>
        <v/>
      </c>
      <c r="BA9" s="568">
        <f>IFERROR(BA67,"")</f>
        <v>0</v>
      </c>
      <c r="BB9" s="211">
        <f t="shared" ref="BB9:BB17" si="2">IFERROR(BA9/$BA$18,"")</f>
        <v>0</v>
      </c>
      <c r="BC9" s="567">
        <f>IFERROR(BC67,"")</f>
        <v>0</v>
      </c>
      <c r="BD9" s="210" t="str">
        <f t="shared" ref="BD9:BD17" si="3">IFERROR(BC9/$BC$18,"")</f>
        <v/>
      </c>
      <c r="BE9" s="568">
        <f>IFERROR(BE67,"")</f>
        <v>0</v>
      </c>
      <c r="BF9" s="211">
        <f t="shared" ref="BF9:BF17" si="4">IFERROR(BE9/$BE$18,"")</f>
        <v>0</v>
      </c>
      <c r="BG9" s="567">
        <f>IFERROR(BG67,"")</f>
        <v>0</v>
      </c>
      <c r="BH9" s="210" t="str">
        <f t="shared" ref="BH9:BH17" si="5">IFERROR(BG9/$BG$18,"")</f>
        <v/>
      </c>
      <c r="BI9" s="568">
        <f>IFERROR(BI67,"")</f>
        <v>0</v>
      </c>
      <c r="BJ9" s="211">
        <f t="shared" ref="BJ9:BJ17" si="6">IFERROR(BI9/$BI$18,"")</f>
        <v>0</v>
      </c>
      <c r="BK9" s="567">
        <f>IFERROR(BK67,"")</f>
        <v>0</v>
      </c>
      <c r="BL9" s="212" t="str">
        <f t="shared" ref="BL9:BL17" si="7">IFERROR(BK9/$BK$18,"")</f>
        <v/>
      </c>
      <c r="BM9" s="568">
        <f>IFERROR(BM67,"")</f>
        <v>0</v>
      </c>
      <c r="BN9" s="213">
        <f t="shared" ref="BN9:BN17" si="8">IFERROR(BM9/$BM$18,"")</f>
        <v>0</v>
      </c>
      <c r="BT9" s="304"/>
      <c r="CT9" s="553"/>
      <c r="CW9" s="304"/>
      <c r="DM9" s="553"/>
    </row>
    <row r="10" spans="2:117" ht="18.5" x14ac:dyDescent="0.35">
      <c r="B10" s="972" t="str">
        <f>Language!$A$73</f>
        <v>Habitantes totales [personas]</v>
      </c>
      <c r="C10" s="973"/>
      <c r="D10" s="973"/>
      <c r="E10" s="973"/>
      <c r="F10" s="973"/>
      <c r="G10" s="973"/>
      <c r="H10" s="559">
        <f>population</f>
        <v>0</v>
      </c>
      <c r="I10" s="569"/>
      <c r="J10" s="570"/>
      <c r="P10" s="553"/>
      <c r="S10" s="563" t="str">
        <f>Language!A25</f>
        <v>Taller de mantenimiento</v>
      </c>
      <c r="T10" s="564">
        <f>SUM('1) Costos'!J29:J43,'1) Costos'!J153:J160,'1) Costos'!J315:J384,'1) Costos'!J569:J578,'1) Costos'!J651:J665)</f>
        <v>1000000</v>
      </c>
      <c r="U10" s="207"/>
      <c r="V10" s="1054"/>
      <c r="AR10" s="553"/>
      <c r="AV10" s="565" t="str">
        <f>Language!A764</f>
        <v>Servicio de recolección y transporte</v>
      </c>
      <c r="AW10" s="571">
        <f>IFERROR('4) Resultados'!T11+'4) Resultados'!$T$10*'1) Costos'!J969,"")</f>
        <v>5000000</v>
      </c>
      <c r="AX10" s="209">
        <f t="shared" si="0"/>
        <v>0.2485089463220676</v>
      </c>
      <c r="AY10" s="572" t="str">
        <f>IFERROR(SUM(AY68,'4) Resultados'!AY69,'4) Resultados'!AY70,'4) Resultados'!AY72,'4) Resultados'!AY73,'4) Resultados'!AY74,'4) Resultados'!AY75,'4) Resultados'!AY77),"")</f>
        <v/>
      </c>
      <c r="AZ10" s="214" t="str">
        <f t="shared" si="1"/>
        <v/>
      </c>
      <c r="BA10" s="573" t="str">
        <f>IFERROR(SUM(BA68,'4) Resultados'!BA69,'4) Resultados'!BA70,'4) Resultados'!BA72,'4) Resultados'!BA73,'4) Resultados'!BA74,'4) Resultados'!BA75,'4) Resultados'!BA77),"")</f>
        <v/>
      </c>
      <c r="BB10" s="215" t="str">
        <f t="shared" si="2"/>
        <v/>
      </c>
      <c r="BC10" s="572" t="str">
        <f>IFERROR(SUM(BC68,'4) Resultados'!BC69,'4) Resultados'!BC70,'4) Resultados'!BC72,'4) Resultados'!BC73,'4) Resultados'!BC74,'4) Resultados'!BC75,'4) Resultados'!BC77),"")</f>
        <v/>
      </c>
      <c r="BD10" s="214" t="str">
        <f t="shared" si="3"/>
        <v/>
      </c>
      <c r="BE10" s="573" t="str">
        <f>IFERROR(SUM(BE68,'4) Resultados'!BE69,'4) Resultados'!BE70,'4) Resultados'!BE72,'4) Resultados'!BE73,'4) Resultados'!BE74,'4) Resultados'!BE75,'4) Resultados'!BE77),"")</f>
        <v/>
      </c>
      <c r="BF10" s="215" t="str">
        <f t="shared" si="4"/>
        <v/>
      </c>
      <c r="BG10" s="572" t="str">
        <f>IFERROR(SUM(BG68,'4) Resultados'!BG69,'4) Resultados'!BG70,'4) Resultados'!BG72,'4) Resultados'!BG73,'4) Resultados'!BG74,'4) Resultados'!BG75,'4) Resultados'!BG77),"")</f>
        <v/>
      </c>
      <c r="BH10" s="214" t="str">
        <f t="shared" si="5"/>
        <v/>
      </c>
      <c r="BI10" s="573" t="str">
        <f>IFERROR(SUM(BI68,'4) Resultados'!BI69,'4) Resultados'!BI70,'4) Resultados'!BI72,'4) Resultados'!BI73,'4) Resultados'!BI74,'4) Resultados'!BI75,'4) Resultados'!BI77),"")</f>
        <v/>
      </c>
      <c r="BJ10" s="215" t="str">
        <f t="shared" si="6"/>
        <v/>
      </c>
      <c r="BK10" s="572" t="str">
        <f>IFERROR(SUM(BK68,'4) Resultados'!BK69,'4) Resultados'!BK70,'4) Resultados'!BK72,'4) Resultados'!BK73,'4) Resultados'!BK74,'4) Resultados'!BK75,'4) Resultados'!BK77),"")</f>
        <v/>
      </c>
      <c r="BL10" s="216" t="str">
        <f t="shared" si="7"/>
        <v/>
      </c>
      <c r="BM10" s="573" t="str">
        <f>IFERROR(SUM(BM68,'4) Resultados'!BM69,'4) Resultados'!BM70,'4) Resultados'!BM72,'4) Resultados'!BM73,'4) Resultados'!BM74,'4) Resultados'!BM75,'4) Resultados'!BM77),"")</f>
        <v/>
      </c>
      <c r="BN10" s="217" t="str">
        <f t="shared" si="8"/>
        <v/>
      </c>
      <c r="BT10" s="304"/>
      <c r="CT10" s="553"/>
      <c r="CW10" s="304"/>
      <c r="DM10" s="553"/>
    </row>
    <row r="11" spans="2:117" ht="18.5" x14ac:dyDescent="0.35">
      <c r="B11" s="972" t="str">
        <f>Language!$A$74</f>
        <v>Habitantes con servicio de gestión de residuos sólidos [personas]</v>
      </c>
      <c r="C11" s="973"/>
      <c r="D11" s="973"/>
      <c r="E11" s="973"/>
      <c r="F11" s="973"/>
      <c r="G11" s="973"/>
      <c r="H11" s="559" t="str">
        <f>IF(population="","",IF(coverage="","",population*coverage))</f>
        <v/>
      </c>
      <c r="I11" s="574"/>
      <c r="J11" s="575"/>
      <c r="P11" s="553"/>
      <c r="S11" s="563" t="str">
        <f>Language!A26</f>
        <v>Servicio de recolección</v>
      </c>
      <c r="T11" s="564">
        <f>SUM('1) Costos'!J45:J69,'1) Costos'!J162:J211,'1) Costos'!J386:J435,'1) Costos'!J580:J587,'1) Costos'!J667:J681)</f>
        <v>5000000</v>
      </c>
      <c r="U11" s="207"/>
      <c r="V11" s="1054"/>
      <c r="AR11" s="553"/>
      <c r="AV11" s="565" t="str">
        <f>Language!A765</f>
        <v xml:space="preserve">Planta de reciclaje </v>
      </c>
      <c r="AW11" s="571">
        <f>IFERROR('4) Resultados'!T12+'4) Resultados'!$T$10*'1) Costos'!J970,"")</f>
        <v>2000000</v>
      </c>
      <c r="AX11" s="209">
        <f t="shared" si="0"/>
        <v>9.9403578528827044E-2</v>
      </c>
      <c r="AY11" s="576">
        <f>IFERROR('4) Resultados'!AY80,"")</f>
        <v>0</v>
      </c>
      <c r="AZ11" s="218" t="str">
        <f t="shared" si="1"/>
        <v/>
      </c>
      <c r="BA11" s="577">
        <f>IFERROR('4) Resultados'!BA80,"")</f>
        <v>0</v>
      </c>
      <c r="BB11" s="219">
        <f t="shared" si="2"/>
        <v>0</v>
      </c>
      <c r="BC11" s="576">
        <f>IFERROR('4) Resultados'!BC80,"")</f>
        <v>0</v>
      </c>
      <c r="BD11" s="218" t="str">
        <f t="shared" si="3"/>
        <v/>
      </c>
      <c r="BE11" s="577">
        <f>IFERROR('4) Resultados'!BE80,"")</f>
        <v>0</v>
      </c>
      <c r="BF11" s="219">
        <f t="shared" si="4"/>
        <v>0</v>
      </c>
      <c r="BG11" s="576">
        <f>IFERROR('4) Resultados'!BG80,"")</f>
        <v>0</v>
      </c>
      <c r="BH11" s="218" t="str">
        <f t="shared" si="5"/>
        <v/>
      </c>
      <c r="BI11" s="577">
        <f>IFERROR('4) Resultados'!BI80,"")</f>
        <v>0</v>
      </c>
      <c r="BJ11" s="219">
        <f t="shared" si="6"/>
        <v>0</v>
      </c>
      <c r="BK11" s="576">
        <f>IFERROR('4) Resultados'!BK80,"")</f>
        <v>0</v>
      </c>
      <c r="BL11" s="220" t="str">
        <f t="shared" si="7"/>
        <v/>
      </c>
      <c r="BM11" s="577">
        <f>IFERROR('4) Resultados'!BM80,"")</f>
        <v>0</v>
      </c>
      <c r="BN11" s="221">
        <f t="shared" si="8"/>
        <v>0</v>
      </c>
      <c r="BT11" s="304"/>
      <c r="CT11" s="553"/>
      <c r="CW11" s="304"/>
      <c r="DM11" s="553"/>
    </row>
    <row r="12" spans="2:117" ht="18.5" x14ac:dyDescent="0.35">
      <c r="B12" s="974" t="str">
        <f>IF(H11="",Language!$A$75,"")</f>
        <v>Por favor, ingresar población y cobertura en pestaña 2a) Datos_escenarios.</v>
      </c>
      <c r="C12" s="975"/>
      <c r="D12" s="975"/>
      <c r="E12" s="975"/>
      <c r="F12" s="975"/>
      <c r="G12" s="975"/>
      <c r="H12" s="975"/>
      <c r="I12" s="976"/>
      <c r="J12" s="570"/>
      <c r="P12" s="553"/>
      <c r="S12" s="563" t="str">
        <f>Language!A27</f>
        <v>Planta de reciclaje</v>
      </c>
      <c r="T12" s="564">
        <f>SUM('1) Costos'!J71:J85,'1) Costos'!J213:J222,'1) Costos'!J437:J466,'1) Costos'!J589:J596,'1) Costos'!J683:J697)</f>
        <v>2000000</v>
      </c>
      <c r="U12" s="207"/>
      <c r="V12" s="1054"/>
      <c r="AR12" s="553"/>
      <c r="AV12" s="565" t="str">
        <f>Language!A766</f>
        <v>Planta de compostaje</v>
      </c>
      <c r="AW12" s="571">
        <f>IFERROR('4) Resultados'!T13+'4) Resultados'!$T$10*'1) Costos'!J971,"")</f>
        <v>3000000</v>
      </c>
      <c r="AX12" s="209">
        <f t="shared" si="0"/>
        <v>0.14910536779324055</v>
      </c>
      <c r="AY12" s="576">
        <f>IFERROR('4) Resultados'!AY79,"")</f>
        <v>0</v>
      </c>
      <c r="AZ12" s="218" t="str">
        <f t="shared" si="1"/>
        <v/>
      </c>
      <c r="BA12" s="577">
        <f>IFERROR('4) Resultados'!BA79,"")</f>
        <v>0</v>
      </c>
      <c r="BB12" s="219">
        <f t="shared" si="2"/>
        <v>0</v>
      </c>
      <c r="BC12" s="576">
        <f>IFERROR('4) Resultados'!BC79,"")</f>
        <v>0</v>
      </c>
      <c r="BD12" s="218" t="str">
        <f t="shared" si="3"/>
        <v/>
      </c>
      <c r="BE12" s="577">
        <f>IFERROR('4) Resultados'!BE79,"")</f>
        <v>0</v>
      </c>
      <c r="BF12" s="219">
        <f t="shared" si="4"/>
        <v>0</v>
      </c>
      <c r="BG12" s="576">
        <f>IFERROR('4) Resultados'!BG79,"")</f>
        <v>0</v>
      </c>
      <c r="BH12" s="218" t="str">
        <f t="shared" si="5"/>
        <v/>
      </c>
      <c r="BI12" s="577">
        <f>IFERROR('4) Resultados'!BI79,"")</f>
        <v>0</v>
      </c>
      <c r="BJ12" s="219">
        <f t="shared" si="6"/>
        <v>0</v>
      </c>
      <c r="BK12" s="576">
        <f>IFERROR('4) Resultados'!BK79,"")</f>
        <v>0</v>
      </c>
      <c r="BL12" s="220" t="str">
        <f t="shared" si="7"/>
        <v/>
      </c>
      <c r="BM12" s="577">
        <f>IFERROR('4) Resultados'!BM79,"")</f>
        <v>0</v>
      </c>
      <c r="BN12" s="221">
        <f t="shared" si="8"/>
        <v>0</v>
      </c>
      <c r="BT12" s="304"/>
      <c r="CT12" s="553"/>
      <c r="CW12" s="304"/>
      <c r="DM12" s="553"/>
    </row>
    <row r="13" spans="2:117" ht="18.5" x14ac:dyDescent="0.35">
      <c r="B13" s="972" t="str">
        <f>Language!$A$76</f>
        <v>Recolección diferenciada</v>
      </c>
      <c r="C13" s="973"/>
      <c r="D13" s="973"/>
      <c r="E13" s="973"/>
      <c r="F13" s="973"/>
      <c r="G13" s="973"/>
      <c r="H13" s="559">
        <f>'0) Intro'!F11</f>
        <v>0</v>
      </c>
      <c r="I13" s="574"/>
      <c r="J13" s="570"/>
      <c r="P13" s="553"/>
      <c r="S13" s="563" t="str">
        <f>Language!A28</f>
        <v>Planta de compostaje</v>
      </c>
      <c r="T13" s="564">
        <f>SUM('1) Costos'!J87:J101,'1) Costos'!J224:J233,'1) Costos'!J468:J497,'1) Costos'!J598:J605,'1) Costos'!J699:J713)</f>
        <v>3000000</v>
      </c>
      <c r="U13" s="207"/>
      <c r="V13" s="1054"/>
      <c r="AR13" s="553"/>
      <c r="AV13" s="565" t="str">
        <f>Language!A767</f>
        <v>Estación de transferencia</v>
      </c>
      <c r="AW13" s="571">
        <f>IFERROR('4) Resultados'!T14+'4) Resultados'!$T$10*'1) Costos'!J972,"")</f>
        <v>1000000</v>
      </c>
      <c r="AX13" s="209">
        <f t="shared" si="0"/>
        <v>4.9701789264413522E-2</v>
      </c>
      <c r="AY13" s="572">
        <f>IFERROR('4) Resultados'!AY71+'4) Resultados'!AY76,"")</f>
        <v>0</v>
      </c>
      <c r="AZ13" s="214" t="str">
        <f t="shared" si="1"/>
        <v/>
      </c>
      <c r="BA13" s="573">
        <f>IFERROR('4) Resultados'!BA71+'4) Resultados'!BA76,"")</f>
        <v>8024.2587190691311</v>
      </c>
      <c r="BB13" s="215">
        <f t="shared" si="2"/>
        <v>1</v>
      </c>
      <c r="BC13" s="572">
        <f>IFERROR('4) Resultados'!BC71+'4) Resultados'!BC76,"")</f>
        <v>0</v>
      </c>
      <c r="BD13" s="214" t="str">
        <f t="shared" si="3"/>
        <v/>
      </c>
      <c r="BE13" s="573">
        <f>IFERROR('4) Resultados'!BE71+'4) Resultados'!BE76,"")</f>
        <v>8024.2587190691311</v>
      </c>
      <c r="BF13" s="215">
        <f t="shared" si="4"/>
        <v>1</v>
      </c>
      <c r="BG13" s="572">
        <f>IFERROR('4) Resultados'!BG71+'4) Resultados'!BG76,"")</f>
        <v>0</v>
      </c>
      <c r="BH13" s="214" t="str">
        <f t="shared" si="5"/>
        <v/>
      </c>
      <c r="BI13" s="573">
        <f>IFERROR('4) Resultados'!BI71+'4) Resultados'!BI76,"")</f>
        <v>8024.2587190691311</v>
      </c>
      <c r="BJ13" s="215">
        <f t="shared" si="6"/>
        <v>1</v>
      </c>
      <c r="BK13" s="572">
        <f>IFERROR('4) Resultados'!BK71+'4) Resultados'!BK76,"")</f>
        <v>0</v>
      </c>
      <c r="BL13" s="216" t="str">
        <f t="shared" si="7"/>
        <v/>
      </c>
      <c r="BM13" s="573">
        <f>IFERROR('4) Resultados'!BM71+'4) Resultados'!BM76,"")</f>
        <v>8024.2587190691311</v>
      </c>
      <c r="BN13" s="217">
        <f t="shared" si="8"/>
        <v>1</v>
      </c>
      <c r="BT13" s="304"/>
      <c r="CT13" s="553"/>
      <c r="CW13" s="304"/>
      <c r="DM13" s="553"/>
    </row>
    <row r="14" spans="2:117" ht="18.5" x14ac:dyDescent="0.35">
      <c r="B14" s="972" t="str">
        <f>Language!$A$77</f>
        <v>Gestión de orgánicos</v>
      </c>
      <c r="C14" s="973"/>
      <c r="D14" s="973"/>
      <c r="E14" s="973"/>
      <c r="F14" s="973"/>
      <c r="G14" s="973"/>
      <c r="H14" s="559">
        <f>'0) Intro'!F12</f>
        <v>0</v>
      </c>
      <c r="I14" s="574"/>
      <c r="J14" s="570"/>
      <c r="P14" s="553"/>
      <c r="S14" s="563" t="str">
        <f>Language!A29</f>
        <v>Estación de transferencia y transporte</v>
      </c>
      <c r="T14" s="564">
        <f>SUM('1) Costos'!J103:J117,'1) Costos'!J235:J244,'1) Costos'!J499:J513,'1) Costos'!J607:J620,'1) Costos'!J715:J729)</f>
        <v>1000000</v>
      </c>
      <c r="U14" s="207"/>
      <c r="V14" s="1054"/>
      <c r="AR14" s="553"/>
      <c r="AV14" s="565" t="str">
        <f>Language!A768</f>
        <v>Disposición final</v>
      </c>
      <c r="AW14" s="571">
        <f>IFERROR('4) Resultados'!T15+'4) Resultados'!$T$10*'1) Costos'!J973,"")</f>
        <v>4000000</v>
      </c>
      <c r="AX14" s="209">
        <f t="shared" si="0"/>
        <v>0.19880715705765409</v>
      </c>
      <c r="AY14" s="576">
        <f>IFERROR('4) Resultados'!AY78,"")</f>
        <v>0</v>
      </c>
      <c r="AZ14" s="218" t="str">
        <f t="shared" si="1"/>
        <v/>
      </c>
      <c r="BA14" s="577">
        <f>IFERROR('4) Resultados'!BA78,"")</f>
        <v>0</v>
      </c>
      <c r="BB14" s="219">
        <f t="shared" si="2"/>
        <v>0</v>
      </c>
      <c r="BC14" s="576">
        <f>IFERROR('4) Resultados'!BC78,"")</f>
        <v>0</v>
      </c>
      <c r="BD14" s="218" t="str">
        <f t="shared" si="3"/>
        <v/>
      </c>
      <c r="BE14" s="577">
        <f>IFERROR('4) Resultados'!BE78,"")</f>
        <v>0</v>
      </c>
      <c r="BF14" s="219">
        <f t="shared" si="4"/>
        <v>0</v>
      </c>
      <c r="BG14" s="576">
        <f>IFERROR('4) Resultados'!BG78,"")</f>
        <v>0</v>
      </c>
      <c r="BH14" s="218" t="str">
        <f t="shared" si="5"/>
        <v/>
      </c>
      <c r="BI14" s="577">
        <f>IFERROR('4) Resultados'!BI78,"")</f>
        <v>0</v>
      </c>
      <c r="BJ14" s="219">
        <f t="shared" si="6"/>
        <v>0</v>
      </c>
      <c r="BK14" s="576">
        <f>IFERROR('4) Resultados'!BK78,"")</f>
        <v>0</v>
      </c>
      <c r="BL14" s="220" t="str">
        <f t="shared" si="7"/>
        <v/>
      </c>
      <c r="BM14" s="577">
        <f>IFERROR('4) Resultados'!BM78,"")</f>
        <v>0</v>
      </c>
      <c r="BN14" s="221">
        <f t="shared" si="8"/>
        <v>0</v>
      </c>
      <c r="BT14" s="304"/>
      <c r="CT14" s="553"/>
      <c r="CW14" s="304"/>
      <c r="DM14" s="553"/>
    </row>
    <row r="15" spans="2:117" ht="18.5" x14ac:dyDescent="0.35">
      <c r="B15" s="972" t="str">
        <f>Language!$A$78</f>
        <v>Gestión de reciclables</v>
      </c>
      <c r="C15" s="973"/>
      <c r="D15" s="973"/>
      <c r="E15" s="973"/>
      <c r="F15" s="973"/>
      <c r="G15" s="973"/>
      <c r="H15" s="559">
        <f>'0) Intro'!F13</f>
        <v>0</v>
      </c>
      <c r="I15" s="574"/>
      <c r="J15" s="570"/>
      <c r="P15" s="553"/>
      <c r="S15" s="563" t="str">
        <f>Language!A30</f>
        <v>Disposición final</v>
      </c>
      <c r="T15" s="564">
        <f>SUM('1) Costos'!J119:J133,'1) Costos'!J246:J260,'1) Costos'!J515:J554,'1) Costos'!J622:J631,'1) Costos'!J731:J744)</f>
        <v>4000000</v>
      </c>
      <c r="U15" s="207"/>
      <c r="V15" s="1054"/>
      <c r="AR15" s="553"/>
      <c r="AV15" s="565" t="str">
        <f>Language!A769</f>
        <v>Administración del servicio</v>
      </c>
      <c r="AW15" s="571">
        <f>IFERROR('4) Resultados'!U16,"")</f>
        <v>1000000</v>
      </c>
      <c r="AX15" s="209">
        <f t="shared" si="0"/>
        <v>4.9701789264413522E-2</v>
      </c>
      <c r="AY15" s="576" t="str">
        <f>IFERROR('4) Resultados'!AY83,"")</f>
        <v/>
      </c>
      <c r="AZ15" s="218" t="str">
        <f t="shared" si="1"/>
        <v/>
      </c>
      <c r="BA15" s="577" t="str">
        <f>IFERROR('4) Resultados'!BA83,"")</f>
        <v/>
      </c>
      <c r="BB15" s="219" t="str">
        <f t="shared" si="2"/>
        <v/>
      </c>
      <c r="BC15" s="576" t="str">
        <f>IFERROR('4) Resultados'!BC83,"")</f>
        <v/>
      </c>
      <c r="BD15" s="218" t="str">
        <f t="shared" si="3"/>
        <v/>
      </c>
      <c r="BE15" s="577" t="str">
        <f>IFERROR('4) Resultados'!BE83,"")</f>
        <v/>
      </c>
      <c r="BF15" s="219" t="str">
        <f t="shared" si="4"/>
        <v/>
      </c>
      <c r="BG15" s="576" t="str">
        <f>IFERROR('4) Resultados'!BG83,"")</f>
        <v/>
      </c>
      <c r="BH15" s="218" t="str">
        <f t="shared" si="5"/>
        <v/>
      </c>
      <c r="BI15" s="577" t="str">
        <f>IFERROR('4) Resultados'!BI83,"")</f>
        <v/>
      </c>
      <c r="BJ15" s="219" t="str">
        <f t="shared" si="6"/>
        <v/>
      </c>
      <c r="BK15" s="576" t="str">
        <f>IFERROR('4) Resultados'!BK83,"")</f>
        <v/>
      </c>
      <c r="BL15" s="220" t="str">
        <f t="shared" si="7"/>
        <v/>
      </c>
      <c r="BM15" s="577" t="str">
        <f>IFERROR('4) Resultados'!BM83,"")</f>
        <v/>
      </c>
      <c r="BN15" s="221" t="str">
        <f t="shared" si="8"/>
        <v/>
      </c>
      <c r="BT15" s="304"/>
      <c r="CT15" s="553"/>
      <c r="CW15" s="304"/>
      <c r="DM15" s="553"/>
    </row>
    <row r="16" spans="2:117" ht="18.5" x14ac:dyDescent="0.35">
      <c r="B16" s="972" t="str">
        <f>Language!$A$79</f>
        <v>Gestión de disposición final</v>
      </c>
      <c r="C16" s="973"/>
      <c r="D16" s="973"/>
      <c r="E16" s="973"/>
      <c r="F16" s="973"/>
      <c r="G16" s="973"/>
      <c r="H16" s="559">
        <f>'0) Intro'!F14</f>
        <v>0</v>
      </c>
      <c r="I16" s="574"/>
      <c r="J16" s="570"/>
      <c r="P16" s="553"/>
      <c r="S16" s="972" t="str">
        <f>'1) Costos'!B745</f>
        <v>Administración del servicio</v>
      </c>
      <c r="T16" s="973"/>
      <c r="U16" s="206">
        <f>SUM('1) Costos'!J747:J838)</f>
        <v>1000000</v>
      </c>
      <c r="V16" s="1054"/>
      <c r="AR16" s="553"/>
      <c r="AV16" s="565" t="str">
        <f>Language!A770</f>
        <v>Planificación y fiscalización del servicio</v>
      </c>
      <c r="AW16" s="571">
        <f>IFERROR('4) Resultados'!U17,"")</f>
        <v>1200000</v>
      </c>
      <c r="AX16" s="209">
        <f t="shared" si="0"/>
        <v>5.9642147117296221E-2</v>
      </c>
      <c r="AY16" s="576" t="str">
        <f>IFERROR('4) Resultados'!AY82,"")</f>
        <v/>
      </c>
      <c r="AZ16" s="218" t="str">
        <f t="shared" si="1"/>
        <v/>
      </c>
      <c r="BA16" s="577" t="str">
        <f>IFERROR('4) Resultados'!BA82,"")</f>
        <v/>
      </c>
      <c r="BB16" s="219" t="str">
        <f t="shared" si="2"/>
        <v/>
      </c>
      <c r="BC16" s="576" t="str">
        <f>IFERROR('4) Resultados'!BC82,"")</f>
        <v/>
      </c>
      <c r="BD16" s="218" t="str">
        <f t="shared" si="3"/>
        <v/>
      </c>
      <c r="BE16" s="577" t="str">
        <f>IFERROR('4) Resultados'!BE82,"")</f>
        <v/>
      </c>
      <c r="BF16" s="219" t="str">
        <f t="shared" si="4"/>
        <v/>
      </c>
      <c r="BG16" s="576" t="str">
        <f>IFERROR('4) Resultados'!BG82,"")</f>
        <v/>
      </c>
      <c r="BH16" s="218" t="str">
        <f t="shared" si="5"/>
        <v/>
      </c>
      <c r="BI16" s="577" t="str">
        <f>IFERROR('4) Resultados'!BI82,"")</f>
        <v/>
      </c>
      <c r="BJ16" s="219" t="str">
        <f t="shared" si="6"/>
        <v/>
      </c>
      <c r="BK16" s="576" t="str">
        <f>IFERROR('4) Resultados'!BK82,"")</f>
        <v/>
      </c>
      <c r="BL16" s="220" t="str">
        <f t="shared" si="7"/>
        <v/>
      </c>
      <c r="BM16" s="577" t="str">
        <f>IFERROR('4) Resultados'!BM82,"")</f>
        <v/>
      </c>
      <c r="BN16" s="221" t="str">
        <f t="shared" si="8"/>
        <v/>
      </c>
      <c r="BT16" s="304"/>
      <c r="CT16" s="553"/>
      <c r="CW16" s="304"/>
      <c r="DM16" s="553"/>
    </row>
    <row r="17" spans="2:117" ht="19.5" customHeight="1" thickBot="1" x14ac:dyDescent="0.4">
      <c r="B17" s="972"/>
      <c r="C17" s="973"/>
      <c r="D17" s="973"/>
      <c r="E17" s="973"/>
      <c r="F17" s="973"/>
      <c r="G17" s="973"/>
      <c r="H17" s="578"/>
      <c r="I17" s="574"/>
      <c r="J17" s="570"/>
      <c r="P17" s="553"/>
      <c r="S17" s="972" t="str">
        <f>'1) Costos'!B839</f>
        <v>Planificación y fiscalización del servicio</v>
      </c>
      <c r="T17" s="973"/>
      <c r="U17" s="206">
        <f>SUM('1) Costos'!J841:J899)</f>
        <v>1200000</v>
      </c>
      <c r="V17" s="1054"/>
      <c r="AR17" s="553"/>
      <c r="AV17" s="579" t="str">
        <f>Language!A771</f>
        <v>Educación y comunicación</v>
      </c>
      <c r="AW17" s="571">
        <f>IFERROR('4) Resultados'!U18,"")</f>
        <v>1920000</v>
      </c>
      <c r="AX17" s="209">
        <f t="shared" si="0"/>
        <v>9.5427435387673953E-2</v>
      </c>
      <c r="AY17" s="576" t="str">
        <f>IFERROR('4) Resultados'!AY81,"")</f>
        <v/>
      </c>
      <c r="AZ17" s="218" t="str">
        <f t="shared" si="1"/>
        <v/>
      </c>
      <c r="BA17" s="577" t="str">
        <f>IFERROR('4) Resultados'!BA81,"")</f>
        <v/>
      </c>
      <c r="BB17" s="219" t="str">
        <f t="shared" si="2"/>
        <v/>
      </c>
      <c r="BC17" s="576" t="str">
        <f>IFERROR('4) Resultados'!BC81,"")</f>
        <v/>
      </c>
      <c r="BD17" s="218" t="str">
        <f t="shared" si="3"/>
        <v/>
      </c>
      <c r="BE17" s="577" t="str">
        <f>IFERROR('4) Resultados'!BE81,"")</f>
        <v/>
      </c>
      <c r="BF17" s="219" t="str">
        <f t="shared" si="4"/>
        <v/>
      </c>
      <c r="BG17" s="576" t="str">
        <f>IFERROR('4) Resultados'!BG81,"")</f>
        <v/>
      </c>
      <c r="BH17" s="218" t="str">
        <f t="shared" si="5"/>
        <v/>
      </c>
      <c r="BI17" s="577" t="str">
        <f>IFERROR('4) Resultados'!BI81,"")</f>
        <v/>
      </c>
      <c r="BJ17" s="219" t="str">
        <f t="shared" si="6"/>
        <v/>
      </c>
      <c r="BK17" s="576" t="str">
        <f>IFERROR('4) Resultados'!BK81,"")</f>
        <v/>
      </c>
      <c r="BL17" s="220" t="str">
        <f t="shared" si="7"/>
        <v/>
      </c>
      <c r="BM17" s="577" t="str">
        <f>IFERROR('4) Resultados'!BM81,"")</f>
        <v/>
      </c>
      <c r="BN17" s="221" t="str">
        <f t="shared" si="8"/>
        <v/>
      </c>
      <c r="BT17" s="304"/>
      <c r="CT17" s="553"/>
      <c r="CW17" s="304"/>
      <c r="DM17" s="553"/>
    </row>
    <row r="18" spans="2:117" ht="19.5" customHeight="1" thickBot="1" x14ac:dyDescent="0.4">
      <c r="B18" s="998"/>
      <c r="C18" s="999"/>
      <c r="D18" s="999"/>
      <c r="E18" s="999"/>
      <c r="F18" s="999"/>
      <c r="G18" s="999"/>
      <c r="H18" s="578"/>
      <c r="I18" s="574"/>
      <c r="J18" s="570"/>
      <c r="P18" s="553"/>
      <c r="S18" s="972" t="str">
        <f>'1) Costos'!B903</f>
        <v>Educación y comunicación</v>
      </c>
      <c r="T18" s="973"/>
      <c r="U18" s="206">
        <f>IF('1) Costos'!D901=Language!A45,SUM('1) Costos'!J905:J965),'1) Costos'!F901*SUM(U8:U17))</f>
        <v>1920000</v>
      </c>
      <c r="V18" s="1054"/>
      <c r="AR18" s="553"/>
      <c r="AV18" s="580" t="str">
        <f>Language!A772</f>
        <v>Costo anual total [$$$/año]</v>
      </c>
      <c r="AW18" s="1037">
        <f>IFERROR(SUM(AW9:AW17),"")</f>
        <v>20120000</v>
      </c>
      <c r="AX18" s="1038"/>
      <c r="AY18" s="1013">
        <f>IFERROR(SUM(AY9:AY17),"")</f>
        <v>0</v>
      </c>
      <c r="AZ18" s="1013"/>
      <c r="BA18" s="1013">
        <f>IFERROR(SUM(BA9:BA17),"")</f>
        <v>8024.2587190691311</v>
      </c>
      <c r="BB18" s="1013"/>
      <c r="BC18" s="1013">
        <f>IFERROR(SUM(BC9:BC17),"")</f>
        <v>0</v>
      </c>
      <c r="BD18" s="1013"/>
      <c r="BE18" s="1013">
        <f>IFERROR(SUM(BE9:BE17),"")</f>
        <v>8024.2587190691311</v>
      </c>
      <c r="BF18" s="1013"/>
      <c r="BG18" s="1013">
        <f>IFERROR(SUM(BG9:BG17),"")</f>
        <v>0</v>
      </c>
      <c r="BH18" s="1013"/>
      <c r="BI18" s="1013">
        <f>IFERROR(SUM(BI9:BI17),"")</f>
        <v>8024.2587190691311</v>
      </c>
      <c r="BJ18" s="1013"/>
      <c r="BK18" s="1013">
        <f>IFERROR(SUM(BK9:BK17),"")</f>
        <v>0</v>
      </c>
      <c r="BL18" s="1013"/>
      <c r="BM18" s="1013">
        <f>IFERROR(SUM(BM9:BM17),"")</f>
        <v>8024.2587190691311</v>
      </c>
      <c r="BN18" s="1042"/>
      <c r="BT18" s="304"/>
      <c r="CT18" s="553"/>
      <c r="CW18" s="304"/>
      <c r="DM18" s="553"/>
    </row>
    <row r="19" spans="2:117" ht="19.5" customHeight="1" x14ac:dyDescent="0.35">
      <c r="B19" s="972"/>
      <c r="C19" s="973"/>
      <c r="D19" s="973"/>
      <c r="E19" s="973"/>
      <c r="F19" s="973"/>
      <c r="G19" s="973"/>
      <c r="H19" s="578"/>
      <c r="I19" s="574"/>
      <c r="J19" s="570"/>
      <c r="P19" s="553"/>
      <c r="S19" s="996" t="str">
        <f>Language!A116</f>
        <v>Costo anual total [$$$/año]</v>
      </c>
      <c r="T19" s="997"/>
      <c r="U19" s="203">
        <f>SUM(U8,U16,U17,U18)</f>
        <v>21120000</v>
      </c>
      <c r="V19" s="1054"/>
      <c r="AR19" s="553"/>
      <c r="AV19" s="581" t="str">
        <f>Language!A773</f>
        <v>Costos de servicio de barrido/limpieza urbana por tonelada [$$$/ton]</v>
      </c>
      <c r="AW19" s="1039" t="str">
        <f>IFERROR(AW9/SUM('4) Resultados'!CD69:CD71),"")</f>
        <v/>
      </c>
      <c r="AX19" s="1028"/>
      <c r="AY19" s="1028" t="str">
        <f>IFERROR(AY9/SUM('4) Resultados'!CD69:CD71),"")</f>
        <v/>
      </c>
      <c r="AZ19" s="1028"/>
      <c r="BA19" s="1028" t="str">
        <f>IFERROR(BA9/SUM('4) Resultados'!CF69:CF71),"")</f>
        <v/>
      </c>
      <c r="BB19" s="1028"/>
      <c r="BC19" s="1028" t="str">
        <f>IFERROR(BC9/SUM('4) Resultados'!CH69:CH71),"")</f>
        <v/>
      </c>
      <c r="BD19" s="1028"/>
      <c r="BE19" s="1028" t="str">
        <f>IFERROR(BE9/SUM('4) Resultados'!CJ69:CJ71),"")</f>
        <v/>
      </c>
      <c r="BF19" s="1028"/>
      <c r="BG19" s="1028" t="str">
        <f>IFERROR(BG9/SUM('4) Resultados'!CL69:CL71),"")</f>
        <v/>
      </c>
      <c r="BH19" s="1028"/>
      <c r="BI19" s="1028" t="str">
        <f>IFERROR(BI9/SUM('4) Resultados'!CN69:CN71),"")</f>
        <v/>
      </c>
      <c r="BJ19" s="1028"/>
      <c r="BK19" s="1028" t="str">
        <f>IFERROR(BK9/SUM('4) Resultados'!CP69:CP71),"")</f>
        <v/>
      </c>
      <c r="BL19" s="1028"/>
      <c r="BM19" s="1028" t="str">
        <f>IFERROR(BM9/SUM('4) Resultados'!CR69:CR71),"")</f>
        <v/>
      </c>
      <c r="BN19" s="1029"/>
      <c r="BT19" s="304"/>
      <c r="CT19" s="553"/>
      <c r="CW19" s="304"/>
      <c r="DM19" s="553"/>
    </row>
    <row r="20" spans="2:117" ht="19.5" customHeight="1" x14ac:dyDescent="0.35">
      <c r="B20" s="972"/>
      <c r="C20" s="973"/>
      <c r="D20" s="973"/>
      <c r="E20" s="973"/>
      <c r="F20" s="973"/>
      <c r="G20" s="973"/>
      <c r="H20" s="578"/>
      <c r="I20" s="574"/>
      <c r="J20" s="570"/>
      <c r="P20" s="553"/>
      <c r="S20" s="990" t="str">
        <f>Language!A117</f>
        <v>Costo por tonelada recolectada [$$$/ton]</v>
      </c>
      <c r="T20" s="991"/>
      <c r="U20" s="204" t="str">
        <f>'6) Anexos'!C4</f>
        <v/>
      </c>
      <c r="V20" s="1054"/>
      <c r="AR20" s="553"/>
      <c r="AV20" s="581" t="str">
        <f>Language!A774</f>
        <v>Costo de recolección y transferencia por tonelada [$$$/ton]</v>
      </c>
      <c r="AW20" s="1039" t="str">
        <f>IFERROR(SUM(AW10,AW13)/SUM('4) Resultados'!CD69:CD71),"")</f>
        <v/>
      </c>
      <c r="AX20" s="1028"/>
      <c r="AY20" s="1040" t="str">
        <f>IFERROR(SUM(AY10,AY13)/SUM('4) Resultados'!CD69:CD71),"")</f>
        <v/>
      </c>
      <c r="AZ20" s="1040"/>
      <c r="BA20" s="1040" t="str">
        <f>IFERROR(SUM(BA10,BA13)/SUM('4) Resultados'!CF69:CF71),"")</f>
        <v/>
      </c>
      <c r="BB20" s="1040"/>
      <c r="BC20" s="1040" t="str">
        <f>IFERROR(SUM(BC10,BC13)/SUM('4) Resultados'!CH69:CH71),"")</f>
        <v/>
      </c>
      <c r="BD20" s="1040"/>
      <c r="BE20" s="1040" t="str">
        <f>IFERROR(SUM(BE10,BE13)/SUM('4) Resultados'!CJ69:CJ71),"")</f>
        <v/>
      </c>
      <c r="BF20" s="1040"/>
      <c r="BG20" s="1040" t="str">
        <f>IFERROR(SUM(BG10,BG13)/SUM('4) Resultados'!CL69:CL71),"")</f>
        <v/>
      </c>
      <c r="BH20" s="1040"/>
      <c r="BI20" s="1040" t="str">
        <f>IFERROR(SUM(BI10,BI13)/SUM('4) Resultados'!CN69:CN71),"")</f>
        <v/>
      </c>
      <c r="BJ20" s="1040"/>
      <c r="BK20" s="1040" t="str">
        <f>IFERROR(SUM(BK10,BK13)/SUM('4) Resultados'!CP69:CP71),"")</f>
        <v/>
      </c>
      <c r="BL20" s="1040"/>
      <c r="BM20" s="1040" t="str">
        <f>IFERROR(SUM(BM10,BM13)/SUM('4) Resultados'!CR69:CR71),"")</f>
        <v/>
      </c>
      <c r="BN20" s="1041"/>
      <c r="BT20" s="304"/>
      <c r="CT20" s="553"/>
      <c r="CW20" s="304"/>
      <c r="DM20" s="553"/>
    </row>
    <row r="21" spans="2:117" ht="19.5" customHeight="1" thickBot="1" x14ac:dyDescent="0.4">
      <c r="B21" s="972"/>
      <c r="C21" s="973"/>
      <c r="D21" s="973"/>
      <c r="E21" s="973"/>
      <c r="F21" s="973"/>
      <c r="G21" s="973"/>
      <c r="H21" s="578"/>
      <c r="I21" s="574"/>
      <c r="J21" s="570"/>
      <c r="P21" s="553"/>
      <c r="S21" s="990" t="str">
        <f>Language!A118</f>
        <v>Costo por usuario [$$$/hab*año]</v>
      </c>
      <c r="T21" s="991"/>
      <c r="U21" s="204" t="str">
        <f>'6) Anexos'!C28</f>
        <v/>
      </c>
      <c r="V21" s="1054"/>
      <c r="AR21" s="553"/>
      <c r="AV21" s="582" t="str">
        <f>Language!A775</f>
        <v>Costo total por tonelada recolectada [$$$/ton]</v>
      </c>
      <c r="AW21" s="1039" t="str">
        <f>IFERROR(AW18/SUM('4) Resultados'!CD69:CD71),"")</f>
        <v/>
      </c>
      <c r="AX21" s="1028"/>
      <c r="AY21" s="1040" t="str">
        <f>IFERROR(AY18/SUM('4) Resultados'!CD69:CD71),"")</f>
        <v/>
      </c>
      <c r="AZ21" s="1040"/>
      <c r="BA21" s="1040" t="str">
        <f>IFERROR(BA18/SUM('4) Resultados'!CF69:CF71),"")</f>
        <v/>
      </c>
      <c r="BB21" s="1040"/>
      <c r="BC21" s="1040" t="str">
        <f>IFERROR(BC18/SUM('4) Resultados'!CH69:CH71),"")</f>
        <v/>
      </c>
      <c r="BD21" s="1040"/>
      <c r="BE21" s="1040" t="str">
        <f>IFERROR(BE18/SUM('4) Resultados'!CJ69:CJ71),"")</f>
        <v/>
      </c>
      <c r="BF21" s="1040"/>
      <c r="BG21" s="1040" t="str">
        <f>IFERROR(BG18/SUM('4) Resultados'!CL69:CL71),"")</f>
        <v/>
      </c>
      <c r="BH21" s="1040"/>
      <c r="BI21" s="1040" t="str">
        <f>IFERROR(BI18/SUM('4) Resultados'!CN69:CN71),"")</f>
        <v/>
      </c>
      <c r="BJ21" s="1040"/>
      <c r="BK21" s="1040" t="str">
        <f>IFERROR(BK18/SUM('4) Resultados'!CP69:CP71),"")</f>
        <v/>
      </c>
      <c r="BL21" s="1040"/>
      <c r="BM21" s="1040" t="str">
        <f>IFERROR(BM18/SUM('4) Resultados'!CR69:CR71),"")</f>
        <v/>
      </c>
      <c r="BN21" s="1041"/>
      <c r="BT21" s="304"/>
      <c r="CT21" s="553"/>
      <c r="CW21" s="304"/>
      <c r="DM21" s="553"/>
    </row>
    <row r="22" spans="2:117" ht="19.5" customHeight="1" thickBot="1" x14ac:dyDescent="0.4">
      <c r="B22" s="583"/>
      <c r="C22" s="584"/>
      <c r="D22" s="584"/>
      <c r="E22" s="584"/>
      <c r="F22" s="584"/>
      <c r="G22" s="584"/>
      <c r="H22" s="584"/>
      <c r="I22" s="585"/>
      <c r="J22" s="570"/>
      <c r="P22" s="553"/>
      <c r="S22" s="848" t="str">
        <f>'0) Intro'!B10</f>
        <v>Presupuesto anual [$$$/año]</v>
      </c>
      <c r="T22" s="849"/>
      <c r="U22" s="586">
        <f>'0) Intro'!F10</f>
        <v>0</v>
      </c>
      <c r="V22" s="1054"/>
      <c r="AR22" s="553"/>
      <c r="AV22" s="587" t="str">
        <f>Language!A776</f>
        <v>Costo por usuario [$$$/hab*año]</v>
      </c>
      <c r="AW22" s="1014" t="str">
        <f>'6) Anexos'!C28</f>
        <v/>
      </c>
      <c r="AX22" s="1015"/>
      <c r="AY22" s="1016" t="str">
        <f>'6) Anexos'!D28</f>
        <v/>
      </c>
      <c r="AZ22" s="1016"/>
      <c r="BA22" s="1016" t="str">
        <f>'6) Anexos'!E28</f>
        <v/>
      </c>
      <c r="BB22" s="1016"/>
      <c r="BC22" s="1016" t="str">
        <f>'6) Anexos'!F28</f>
        <v/>
      </c>
      <c r="BD22" s="1016"/>
      <c r="BE22" s="1016" t="str">
        <f>'6) Anexos'!G28</f>
        <v/>
      </c>
      <c r="BF22" s="1016"/>
      <c r="BG22" s="1016" t="str">
        <f>'6) Anexos'!H28</f>
        <v/>
      </c>
      <c r="BH22" s="1016"/>
      <c r="BI22" s="1016" t="str">
        <f>'6) Anexos'!I28</f>
        <v/>
      </c>
      <c r="BJ22" s="1016"/>
      <c r="BK22" s="1016" t="str">
        <f>'6) Anexos'!J28</f>
        <v/>
      </c>
      <c r="BL22" s="1016"/>
      <c r="BM22" s="1016" t="str">
        <f>'6) Anexos'!K28</f>
        <v/>
      </c>
      <c r="BN22" s="1030"/>
      <c r="BT22" s="304"/>
      <c r="CT22" s="553"/>
      <c r="CW22" s="304"/>
      <c r="DM22" s="553"/>
    </row>
    <row r="23" spans="2:117" ht="19.5" customHeight="1" x14ac:dyDescent="0.35">
      <c r="B23" s="992" t="str">
        <f>Language!A872</f>
        <v>Tabla 1: Datos base</v>
      </c>
      <c r="C23" s="993"/>
      <c r="D23" s="993"/>
      <c r="E23" s="993"/>
      <c r="F23" s="993"/>
      <c r="G23" s="993"/>
      <c r="H23" s="993"/>
      <c r="I23" s="993"/>
      <c r="J23" s="570"/>
      <c r="P23" s="553"/>
      <c r="S23" s="828" t="str">
        <f>Language!A120</f>
        <v>Facturado anualmente [$$$/año]</v>
      </c>
      <c r="T23" s="829"/>
      <c r="U23" s="569">
        <f>'2) Ingresos'!H113</f>
        <v>12000000</v>
      </c>
      <c r="V23" s="1054"/>
      <c r="AR23" s="553"/>
      <c r="AV23" s="588"/>
      <c r="AW23" s="1031" t="str">
        <f>Language!A777</f>
        <v>Los valores en cursiva de color gris claro se han calculado sobre la base de un coste por tonelada o de un porcentaje de los costes totales - no se han modelizado y no deben utilizarse como punto de comparación con el caso real - sólo ofrecen una visión general de un coste total estimado</v>
      </c>
      <c r="AX23" s="1032"/>
      <c r="AY23" s="1032"/>
      <c r="AZ23" s="1032"/>
      <c r="BA23" s="1032"/>
      <c r="BB23" s="1032"/>
      <c r="BC23" s="1032"/>
      <c r="BD23" s="1032"/>
      <c r="BE23" s="1032"/>
      <c r="BF23" s="1032"/>
      <c r="BG23" s="1032"/>
      <c r="BH23" s="1032"/>
      <c r="BI23" s="1032"/>
      <c r="BJ23" s="1032"/>
      <c r="BK23" s="1032"/>
      <c r="BL23" s="1032"/>
      <c r="BM23" s="1032"/>
      <c r="BN23" s="1033"/>
      <c r="BT23" s="304"/>
      <c r="CT23" s="553"/>
      <c r="CW23" s="304"/>
      <c r="DM23" s="553"/>
    </row>
    <row r="24" spans="2:117" ht="19.5" customHeight="1" thickBot="1" x14ac:dyDescent="0.4">
      <c r="B24" s="994"/>
      <c r="C24" s="995"/>
      <c r="D24" s="995"/>
      <c r="E24" s="995"/>
      <c r="F24" s="995"/>
      <c r="G24" s="995"/>
      <c r="H24" s="995"/>
      <c r="I24" s="995"/>
      <c r="J24" s="570"/>
      <c r="P24" s="553"/>
      <c r="S24" s="828" t="str">
        <f>Language!A121</f>
        <v>Cobrado anualmente [$$$/año]</v>
      </c>
      <c r="T24" s="829"/>
      <c r="U24" s="569">
        <f>'2) Ingresos'!G113</f>
        <v>10000000</v>
      </c>
      <c r="V24" s="1054"/>
      <c r="AR24" s="553"/>
      <c r="AW24" s="1034"/>
      <c r="AX24" s="1035"/>
      <c r="AY24" s="1035"/>
      <c r="AZ24" s="1035"/>
      <c r="BA24" s="1035"/>
      <c r="BB24" s="1035"/>
      <c r="BC24" s="1035"/>
      <c r="BD24" s="1035"/>
      <c r="BE24" s="1035"/>
      <c r="BF24" s="1035"/>
      <c r="BG24" s="1035"/>
      <c r="BH24" s="1035"/>
      <c r="BI24" s="1035"/>
      <c r="BJ24" s="1035"/>
      <c r="BK24" s="1035"/>
      <c r="BL24" s="1035"/>
      <c r="BM24" s="1035"/>
      <c r="BN24" s="1036"/>
      <c r="BT24" s="304"/>
      <c r="BU24" s="930" t="str">
        <f>Language!A869</f>
        <v>Fig. 6: Costos anuales de la recolección y transporte de los residuos sólidos para el caso real y los escenarios de modelización</v>
      </c>
      <c r="BV24" s="930"/>
      <c r="BW24" s="930"/>
      <c r="BX24" s="930"/>
      <c r="BY24" s="930"/>
      <c r="BZ24" s="930"/>
      <c r="CA24" s="930"/>
      <c r="CB24" s="930"/>
      <c r="CC24" s="930"/>
      <c r="CD24" s="930"/>
      <c r="CE24" s="930"/>
      <c r="CF24" s="930"/>
      <c r="CG24" s="930"/>
      <c r="CH24" s="930"/>
      <c r="CI24" s="930"/>
      <c r="CJ24" s="930"/>
      <c r="CK24" s="930"/>
      <c r="CL24" s="930"/>
      <c r="CM24" s="930"/>
      <c r="CN24" s="930"/>
      <c r="CO24" s="930"/>
      <c r="CP24" s="930"/>
      <c r="CQ24" s="930"/>
      <c r="CR24" s="930"/>
      <c r="CS24" s="930"/>
      <c r="CT24" s="553"/>
      <c r="CW24" s="304"/>
      <c r="DM24" s="553"/>
    </row>
    <row r="25" spans="2:117" ht="19.5" customHeight="1" x14ac:dyDescent="0.35">
      <c r="B25" s="589"/>
      <c r="C25" s="590"/>
      <c r="D25" s="590"/>
      <c r="E25" s="590"/>
      <c r="F25" s="590"/>
      <c r="G25" s="590"/>
      <c r="H25" s="590"/>
      <c r="I25" s="590"/>
      <c r="J25" s="570"/>
      <c r="P25" s="553"/>
      <c r="S25" s="828" t="str">
        <f>Language!A122</f>
        <v>Morosidad de pago [%]</v>
      </c>
      <c r="T25" s="829"/>
      <c r="U25" s="208">
        <f>IF(U23=0,"",1-U24/U23)</f>
        <v>0.16666666666666663</v>
      </c>
      <c r="V25" s="1054"/>
      <c r="AR25" s="553"/>
      <c r="AV25" s="1056" t="str">
        <f>Language!A876</f>
        <v>Tabla 5: Resumen de costos anuales de la gestión de los residuos sólidos para el caso real y los escenarios de modelización</v>
      </c>
      <c r="AW25" s="1056"/>
      <c r="AX25" s="1056"/>
      <c r="AY25" s="1056"/>
      <c r="AZ25" s="1056"/>
      <c r="BA25" s="1056"/>
      <c r="BB25" s="1056"/>
      <c r="BC25" s="1056"/>
      <c r="BD25" s="1056"/>
      <c r="BE25" s="1056"/>
      <c r="BF25" s="1056"/>
      <c r="BG25" s="1056"/>
      <c r="BH25" s="1056"/>
      <c r="BI25" s="1056"/>
      <c r="BJ25" s="1056"/>
      <c r="BK25" s="1056"/>
      <c r="BL25" s="1056"/>
      <c r="BM25" s="1056"/>
      <c r="BN25" s="1056"/>
      <c r="BT25" s="304"/>
      <c r="BU25" s="930"/>
      <c r="BV25" s="930"/>
      <c r="BW25" s="930"/>
      <c r="BX25" s="930"/>
      <c r="BY25" s="930"/>
      <c r="BZ25" s="930"/>
      <c r="CA25" s="930"/>
      <c r="CB25" s="930"/>
      <c r="CC25" s="930"/>
      <c r="CD25" s="930"/>
      <c r="CE25" s="930"/>
      <c r="CF25" s="930"/>
      <c r="CG25" s="930"/>
      <c r="CH25" s="930"/>
      <c r="CI25" s="930"/>
      <c r="CJ25" s="930"/>
      <c r="CK25" s="930"/>
      <c r="CL25" s="930"/>
      <c r="CM25" s="930"/>
      <c r="CN25" s="930"/>
      <c r="CO25" s="930"/>
      <c r="CP25" s="930"/>
      <c r="CQ25" s="930"/>
      <c r="CR25" s="930"/>
      <c r="CS25" s="930"/>
      <c r="CT25" s="553"/>
      <c r="CW25" s="304"/>
      <c r="DM25" s="553"/>
    </row>
    <row r="26" spans="2:117" ht="19.5" customHeight="1" x14ac:dyDescent="0.35">
      <c r="B26" s="589"/>
      <c r="C26" s="590"/>
      <c r="D26" s="590"/>
      <c r="E26" s="590"/>
      <c r="F26" s="590"/>
      <c r="G26" s="590"/>
      <c r="H26" s="590"/>
      <c r="I26" s="590"/>
      <c r="J26" s="570"/>
      <c r="P26" s="553"/>
      <c r="S26" s="828" t="str">
        <f>Language!A123</f>
        <v>Subvención necesaria por año [$$$/año]</v>
      </c>
      <c r="T26" s="829"/>
      <c r="U26" s="569">
        <f>U19-U24</f>
        <v>11120000</v>
      </c>
      <c r="V26" s="1054"/>
      <c r="AR26" s="553"/>
      <c r="AV26" s="1056"/>
      <c r="AW26" s="1056"/>
      <c r="AX26" s="1056"/>
      <c r="AY26" s="1056"/>
      <c r="AZ26" s="1056"/>
      <c r="BA26" s="1056"/>
      <c r="BB26" s="1056"/>
      <c r="BC26" s="1056"/>
      <c r="BD26" s="1056"/>
      <c r="BE26" s="1056"/>
      <c r="BF26" s="1056"/>
      <c r="BG26" s="1056"/>
      <c r="BH26" s="1056"/>
      <c r="BI26" s="1056"/>
      <c r="BJ26" s="1056"/>
      <c r="BK26" s="1056"/>
      <c r="BL26" s="1056"/>
      <c r="BM26" s="1056"/>
      <c r="BN26" s="1056"/>
      <c r="BT26" s="304"/>
      <c r="BU26" s="1058"/>
      <c r="BV26" s="1058"/>
      <c r="BW26" s="1058"/>
      <c r="BX26" s="1058"/>
      <c r="BY26" s="1058"/>
      <c r="BZ26" s="1058"/>
      <c r="CA26" s="1058"/>
      <c r="CB26" s="1058"/>
      <c r="CC26" s="1058"/>
      <c r="CD26" s="1058"/>
      <c r="CE26" s="1058"/>
      <c r="CF26" s="1058"/>
      <c r="CG26" s="1058"/>
      <c r="CH26" s="1058"/>
      <c r="CI26" s="1058"/>
      <c r="CJ26" s="1058"/>
      <c r="CK26" s="1058"/>
      <c r="CL26" s="1058"/>
      <c r="CM26" s="1058"/>
      <c r="CN26" s="1058"/>
      <c r="CO26" s="1058"/>
      <c r="CP26" s="1058"/>
      <c r="CQ26" s="1058"/>
      <c r="CR26" s="1058"/>
      <c r="CS26" s="1058"/>
      <c r="CT26" s="553"/>
      <c r="CW26" s="304"/>
      <c r="CX26" s="930" t="str">
        <f>Language!A871</f>
        <v>Fig. 8: Costos anuales de barrido/limpieza urbana para el caso real y los escenarios de modelización</v>
      </c>
      <c r="CY26" s="930"/>
      <c r="CZ26" s="930"/>
      <c r="DA26" s="930"/>
      <c r="DB26" s="930"/>
      <c r="DC26" s="930"/>
      <c r="DD26" s="930"/>
      <c r="DE26" s="930"/>
      <c r="DF26" s="930"/>
      <c r="DG26" s="930"/>
      <c r="DH26" s="930"/>
      <c r="DI26" s="930"/>
      <c r="DJ26" s="930"/>
      <c r="DK26" s="930"/>
      <c r="DL26" s="930"/>
      <c r="DM26" s="553"/>
    </row>
    <row r="27" spans="2:117" ht="19" thickBot="1" x14ac:dyDescent="0.4">
      <c r="B27" s="589"/>
      <c r="C27" s="590"/>
      <c r="D27" s="590"/>
      <c r="E27" s="590"/>
      <c r="F27" s="590"/>
      <c r="G27" s="590"/>
      <c r="H27" s="590"/>
      <c r="I27" s="590"/>
      <c r="J27" s="570"/>
      <c r="P27" s="553"/>
      <c r="S27" s="830" t="str">
        <f>Language!A124</f>
        <v>Deficiencia de presupuesto [$$$/año]</v>
      </c>
      <c r="T27" s="831"/>
      <c r="U27" s="585">
        <f>U22-U19</f>
        <v>-21120000</v>
      </c>
      <c r="V27" s="1054"/>
      <c r="AR27" s="553"/>
      <c r="BT27" s="304"/>
      <c r="CT27" s="553"/>
      <c r="CW27" s="304"/>
      <c r="CX27" s="930"/>
      <c r="CY27" s="930"/>
      <c r="CZ27" s="930"/>
      <c r="DA27" s="930"/>
      <c r="DB27" s="930"/>
      <c r="DC27" s="930"/>
      <c r="DD27" s="930"/>
      <c r="DE27" s="930"/>
      <c r="DF27" s="930"/>
      <c r="DG27" s="930"/>
      <c r="DH27" s="930"/>
      <c r="DI27" s="930"/>
      <c r="DJ27" s="930"/>
      <c r="DK27" s="930"/>
      <c r="DL27" s="930"/>
      <c r="DM27" s="553"/>
    </row>
    <row r="28" spans="2:117" ht="19.5" customHeight="1" thickBot="1" x14ac:dyDescent="0.4">
      <c r="B28" s="589"/>
      <c r="C28" s="590"/>
      <c r="D28" s="590"/>
      <c r="E28" s="590"/>
      <c r="F28" s="590"/>
      <c r="G28" s="590"/>
      <c r="H28" s="590"/>
      <c r="I28" s="590"/>
      <c r="J28" s="570"/>
      <c r="P28" s="553"/>
      <c r="S28" s="304"/>
      <c r="V28" s="1054"/>
      <c r="AR28" s="553"/>
      <c r="AV28" s="591"/>
      <c r="AW28" s="1018" t="str">
        <f>'4) Resultados'!AW7</f>
        <v>Caso real actual</v>
      </c>
      <c r="AX28" s="1019"/>
      <c r="AY28" s="1018" t="str">
        <f>'4) Resultados'!AY7</f>
        <v>Recolección por acera</v>
      </c>
      <c r="AZ28" s="1048"/>
      <c r="BA28" s="1048"/>
      <c r="BB28" s="1019"/>
      <c r="BC28" s="1018" t="str">
        <f>'4) Resultados'!BC7</f>
        <v>Recolección por esquina</v>
      </c>
      <c r="BD28" s="1048"/>
      <c r="BE28" s="1048"/>
      <c r="BF28" s="1019"/>
      <c r="BG28" s="1018" t="str">
        <f>'4) Resultados'!BG7</f>
        <v>Recolección con contenedores</v>
      </c>
      <c r="BH28" s="1048"/>
      <c r="BI28" s="1048"/>
      <c r="BJ28" s="1019"/>
      <c r="BK28" s="1043" t="str">
        <f>'4) Resultados'!BK7</f>
        <v>Recolección diferenciada con contenedores</v>
      </c>
      <c r="BL28" s="1044"/>
      <c r="BM28" s="1044"/>
      <c r="BN28" s="1045"/>
      <c r="BT28" s="304"/>
      <c r="CT28" s="553"/>
      <c r="CW28" s="304"/>
      <c r="CX28" s="930"/>
      <c r="CY28" s="930"/>
      <c r="CZ28" s="930"/>
      <c r="DA28" s="930"/>
      <c r="DB28" s="930"/>
      <c r="DC28" s="930"/>
      <c r="DD28" s="930"/>
      <c r="DE28" s="930"/>
      <c r="DF28" s="930"/>
      <c r="DG28" s="930"/>
      <c r="DH28" s="930"/>
      <c r="DI28" s="930"/>
      <c r="DJ28" s="930"/>
      <c r="DK28" s="930"/>
      <c r="DL28" s="930"/>
      <c r="DM28" s="553"/>
    </row>
    <row r="29" spans="2:117" ht="29" thickBot="1" x14ac:dyDescent="0.4">
      <c r="B29" s="589"/>
      <c r="C29" s="590"/>
      <c r="D29" s="590"/>
      <c r="E29" s="590"/>
      <c r="F29" s="590"/>
      <c r="G29" s="590"/>
      <c r="H29" s="590"/>
      <c r="I29" s="590"/>
      <c r="J29" s="570"/>
      <c r="P29" s="553"/>
      <c r="S29" s="966" t="str">
        <f>Language!A125</f>
        <v>Costos por tonelada</v>
      </c>
      <c r="T29" s="967"/>
      <c r="U29" s="968"/>
      <c r="V29" s="1054"/>
      <c r="W29" s="930" t="str">
        <f>Language!A865</f>
        <v>Fig. 2: Distribución de los costos de gestión de residuos sólidos</v>
      </c>
      <c r="X29" s="930"/>
      <c r="Y29" s="930"/>
      <c r="Z29" s="930"/>
      <c r="AA29" s="930"/>
      <c r="AB29" s="930"/>
      <c r="AC29" s="930"/>
      <c r="AD29" s="930"/>
      <c r="AE29" s="930"/>
      <c r="AF29" s="930"/>
      <c r="AG29" s="930"/>
      <c r="AR29" s="553"/>
      <c r="AV29" s="592" t="str">
        <f>Language!A786</f>
        <v>Indicadores de eficiencia</v>
      </c>
      <c r="AW29" s="1020"/>
      <c r="AX29" s="1021"/>
      <c r="AY29" s="1009" t="str">
        <f>'4) Resultados'!AY8</f>
        <v>Sin estación de transferencia</v>
      </c>
      <c r="AZ29" s="1046"/>
      <c r="BA29" s="1009" t="str">
        <f>'4) Resultados'!BA8</f>
        <v>Con estación de transferencia</v>
      </c>
      <c r="BB29" s="1046"/>
      <c r="BC29" s="1009" t="str">
        <f>'4) Resultados'!BC8</f>
        <v>Sin estación de transferencia</v>
      </c>
      <c r="BD29" s="1046"/>
      <c r="BE29" s="1009" t="str">
        <f>'4) Resultados'!BE8</f>
        <v>Con estación de transferencia</v>
      </c>
      <c r="BF29" s="1046"/>
      <c r="BG29" s="1009" t="str">
        <f>'4) Resultados'!BG8</f>
        <v>Sin estación de transferencia</v>
      </c>
      <c r="BH29" s="1046"/>
      <c r="BI29" s="1009" t="str">
        <f>'4) Resultados'!BI8</f>
        <v>Con estación de transferencia</v>
      </c>
      <c r="BJ29" s="1046"/>
      <c r="BK29" s="1009" t="str">
        <f>'4) Resultados'!BK8</f>
        <v>Sin estación de transferencia</v>
      </c>
      <c r="BL29" s="1047"/>
      <c r="BM29" s="1009" t="str">
        <f>'4) Resultados'!BM8</f>
        <v>Con estación de transferencia</v>
      </c>
      <c r="BN29" s="1046"/>
      <c r="BT29" s="304"/>
      <c r="CT29" s="553"/>
      <c r="CW29" s="462"/>
      <c r="CX29" s="1059"/>
      <c r="CY29" s="1059"/>
      <c r="CZ29" s="1059"/>
      <c r="DA29" s="1059"/>
      <c r="DB29" s="1059"/>
      <c r="DC29" s="1059"/>
      <c r="DD29" s="1059"/>
      <c r="DE29" s="1059"/>
      <c r="DF29" s="1059"/>
      <c r="DG29" s="1059"/>
      <c r="DH29" s="1059"/>
      <c r="DI29" s="1059"/>
      <c r="DJ29" s="1059"/>
      <c r="DK29" s="1059"/>
      <c r="DL29" s="1059"/>
      <c r="DM29" s="593"/>
    </row>
    <row r="30" spans="2:117" ht="18.75" customHeight="1" x14ac:dyDescent="0.35">
      <c r="B30" s="589"/>
      <c r="C30" s="590"/>
      <c r="D30" s="590"/>
      <c r="E30" s="590"/>
      <c r="F30" s="590"/>
      <c r="G30" s="590"/>
      <c r="H30" s="590"/>
      <c r="I30" s="590"/>
      <c r="J30" s="570"/>
      <c r="P30" s="553"/>
      <c r="S30" s="594"/>
      <c r="T30" s="595" t="str">
        <f>'4) Resultados'!AV19</f>
        <v>Costos de servicio de barrido/limpieza urbana por tonelada [$$$/ton]</v>
      </c>
      <c r="U30" s="596" t="str">
        <f>'4) Resultados'!AW19</f>
        <v/>
      </c>
      <c r="V30" s="1054"/>
      <c r="W30" s="930"/>
      <c r="X30" s="930"/>
      <c r="Y30" s="930"/>
      <c r="Z30" s="930"/>
      <c r="AA30" s="930"/>
      <c r="AB30" s="930"/>
      <c r="AC30" s="930"/>
      <c r="AD30" s="930"/>
      <c r="AE30" s="930"/>
      <c r="AF30" s="930"/>
      <c r="AG30" s="930"/>
      <c r="AI30" s="929" t="str">
        <f>Language!A866</f>
        <v>Fig. 3: Distribución de los costos de prestación del servicio</v>
      </c>
      <c r="AJ30" s="929"/>
      <c r="AK30" s="929"/>
      <c r="AL30" s="929"/>
      <c r="AM30" s="929"/>
      <c r="AN30" s="929"/>
      <c r="AO30" s="929"/>
      <c r="AP30" s="929"/>
      <c r="AQ30" s="929"/>
      <c r="AR30" s="553"/>
      <c r="AV30" s="597" t="str">
        <f>'6) Anexos'!B11</f>
        <v>Total personal de recolección primaria</v>
      </c>
      <c r="AW30" s="1023">
        <f>'6) Anexos'!C11</f>
        <v>0</v>
      </c>
      <c r="AX30" s="1023" t="str">
        <f>'6) Anexos'!D11</f>
        <v/>
      </c>
      <c r="AY30" s="1023" t="str">
        <f>IFERROR('6) Anexos'!D11,"")</f>
        <v/>
      </c>
      <c r="AZ30" s="1023"/>
      <c r="BA30" s="1023" t="str">
        <f>IFERROR('6) Anexos'!E11,"")</f>
        <v/>
      </c>
      <c r="BB30" s="1023"/>
      <c r="BC30" s="1023" t="str">
        <f>IFERROR('6) Anexos'!F11,"")</f>
        <v/>
      </c>
      <c r="BD30" s="1023"/>
      <c r="BE30" s="1023" t="str">
        <f>IFERROR('6) Anexos'!G11,"")</f>
        <v/>
      </c>
      <c r="BF30" s="1023"/>
      <c r="BG30" s="1023" t="str">
        <f>IFERROR('6) Anexos'!H11,"")</f>
        <v/>
      </c>
      <c r="BH30" s="1023"/>
      <c r="BI30" s="1023" t="str">
        <f>IFERROR('6) Anexos'!I11,"")</f>
        <v/>
      </c>
      <c r="BJ30" s="1023"/>
      <c r="BK30" s="1023" t="str">
        <f>IFERROR('6) Anexos'!J11,"")</f>
        <v/>
      </c>
      <c r="BL30" s="1023"/>
      <c r="BM30" s="1023" t="str">
        <f>IFERROR('6) Anexos'!H11,"")</f>
        <v/>
      </c>
      <c r="BN30" s="1049"/>
      <c r="BT30" s="304"/>
      <c r="CT30" s="553"/>
    </row>
    <row r="31" spans="2:117" ht="18.75" customHeight="1" x14ac:dyDescent="0.35">
      <c r="B31" s="589"/>
      <c r="C31" s="590"/>
      <c r="D31" s="590"/>
      <c r="E31" s="590"/>
      <c r="F31" s="590"/>
      <c r="G31" s="590"/>
      <c r="H31" s="590"/>
      <c r="I31" s="590"/>
      <c r="J31" s="570"/>
      <c r="P31" s="553"/>
      <c r="S31" s="598"/>
      <c r="T31" s="320" t="str">
        <f>Typical_costs!F3</f>
        <v>Recolección y transporte [$$$/ton]</v>
      </c>
      <c r="U31" s="599" t="e">
        <f>Typical_costs!H4</f>
        <v>#DIV/0!</v>
      </c>
      <c r="V31" s="1054"/>
      <c r="W31" s="930"/>
      <c r="X31" s="930"/>
      <c r="Y31" s="930"/>
      <c r="Z31" s="930"/>
      <c r="AA31" s="930"/>
      <c r="AB31" s="930"/>
      <c r="AC31" s="930"/>
      <c r="AD31" s="930"/>
      <c r="AE31" s="930"/>
      <c r="AF31" s="930"/>
      <c r="AG31" s="930"/>
      <c r="AI31" s="929"/>
      <c r="AJ31" s="929"/>
      <c r="AK31" s="929"/>
      <c r="AL31" s="929"/>
      <c r="AM31" s="929"/>
      <c r="AN31" s="929"/>
      <c r="AO31" s="929"/>
      <c r="AP31" s="929"/>
      <c r="AQ31" s="929"/>
      <c r="AR31" s="553"/>
      <c r="AV31" s="600" t="str">
        <f>'6) Anexos'!B12</f>
        <v>Total personal de recolección segundaria</v>
      </c>
      <c r="AW31" s="1022">
        <f>'6) Anexos'!C12</f>
        <v>0</v>
      </c>
      <c r="AX31" s="1022"/>
      <c r="AY31" s="1022" t="str">
        <f>IFERROR('6) Anexos'!D12,"")</f>
        <v/>
      </c>
      <c r="AZ31" s="1022"/>
      <c r="BA31" s="1022" t="str">
        <f>IFERROR('6) Anexos'!E12,"")</f>
        <v/>
      </c>
      <c r="BB31" s="1022"/>
      <c r="BC31" s="1022" t="str">
        <f>IFERROR('6) Anexos'!F12,"")</f>
        <v/>
      </c>
      <c r="BD31" s="1022"/>
      <c r="BE31" s="1022" t="str">
        <f>IFERROR('6) Anexos'!G12,"")</f>
        <v/>
      </c>
      <c r="BF31" s="1022"/>
      <c r="BG31" s="1022" t="str">
        <f>IFERROR('6) Anexos'!H12,"")</f>
        <v/>
      </c>
      <c r="BH31" s="1022"/>
      <c r="BI31" s="1022" t="str">
        <f>IFERROR('6) Anexos'!I12,"")</f>
        <v/>
      </c>
      <c r="BJ31" s="1022"/>
      <c r="BK31" s="1022" t="str">
        <f>IFERROR('6) Anexos'!J12,"")</f>
        <v/>
      </c>
      <c r="BL31" s="1022"/>
      <c r="BM31" s="1022" t="str">
        <f>IFERROR('6) Anexos'!K12,"")</f>
        <v/>
      </c>
      <c r="BN31" s="1050"/>
      <c r="BT31" s="304"/>
      <c r="CT31" s="553"/>
    </row>
    <row r="32" spans="2:117" ht="18.75" customHeight="1" x14ac:dyDescent="0.35">
      <c r="B32" s="589"/>
      <c r="C32" s="590"/>
      <c r="D32" s="590"/>
      <c r="E32" s="590"/>
      <c r="F32" s="590"/>
      <c r="G32" s="590"/>
      <c r="H32" s="590"/>
      <c r="I32" s="590"/>
      <c r="J32" s="570"/>
      <c r="P32" s="553"/>
      <c r="S32" s="598"/>
      <c r="T32" s="320" t="str">
        <f>S15&amp;" "&amp;"[Bs/ton]"</f>
        <v>Disposición final [Bs/ton]</v>
      </c>
      <c r="U32" s="601" t="e">
        <f>Typical_costs!K4</f>
        <v>#DIV/0!</v>
      </c>
      <c r="V32" s="1054"/>
      <c r="W32" s="930"/>
      <c r="X32" s="930"/>
      <c r="Y32" s="930"/>
      <c r="Z32" s="930"/>
      <c r="AA32" s="930"/>
      <c r="AB32" s="930"/>
      <c r="AC32" s="930"/>
      <c r="AD32" s="930"/>
      <c r="AE32" s="930"/>
      <c r="AF32" s="930"/>
      <c r="AG32" s="930"/>
      <c r="AI32" s="929"/>
      <c r="AJ32" s="929"/>
      <c r="AK32" s="929"/>
      <c r="AL32" s="929"/>
      <c r="AM32" s="929"/>
      <c r="AN32" s="929"/>
      <c r="AO32" s="929"/>
      <c r="AP32" s="929"/>
      <c r="AQ32" s="929"/>
      <c r="AR32" s="553"/>
      <c r="AV32" s="600" t="str">
        <f>'6) Anexos'!B13</f>
        <v>Total personal de transferencia y transporte</v>
      </c>
      <c r="AW32" s="1022">
        <f>'6) Anexos'!C13</f>
        <v>0</v>
      </c>
      <c r="AX32" s="1022"/>
      <c r="AY32" s="1022" t="str">
        <f>IFERROR('6) Anexos'!D13,"")</f>
        <v/>
      </c>
      <c r="AZ32" s="1022"/>
      <c r="BA32" s="1022" t="str">
        <f>IFERROR('6) Anexos'!E13,"")</f>
        <v/>
      </c>
      <c r="BB32" s="1022"/>
      <c r="BC32" s="1022" t="str">
        <f>IFERROR('6) Anexos'!F13,"")</f>
        <v/>
      </c>
      <c r="BD32" s="1022"/>
      <c r="BE32" s="1022" t="str">
        <f>IFERROR('6) Anexos'!G13,"")</f>
        <v/>
      </c>
      <c r="BF32" s="1022"/>
      <c r="BG32" s="1022" t="str">
        <f>IFERROR('6) Anexos'!H13,"")</f>
        <v/>
      </c>
      <c r="BH32" s="1022"/>
      <c r="BI32" s="1022" t="str">
        <f>IFERROR('6) Anexos'!I13,"")</f>
        <v/>
      </c>
      <c r="BJ32" s="1022"/>
      <c r="BK32" s="1022" t="str">
        <f>IFERROR('6) Anexos'!J13,"")</f>
        <v/>
      </c>
      <c r="BL32" s="1022"/>
      <c r="BM32" s="1022" t="str">
        <f>IFERROR('6) Anexos'!K13,"")</f>
        <v/>
      </c>
      <c r="BN32" s="1050"/>
      <c r="BT32" s="304"/>
      <c r="CT32" s="553"/>
    </row>
    <row r="33" spans="2:98" ht="19" thickBot="1" x14ac:dyDescent="0.4">
      <c r="B33" s="589"/>
      <c r="C33" s="590"/>
      <c r="D33" s="590"/>
      <c r="E33" s="590"/>
      <c r="F33" s="590"/>
      <c r="G33" s="590"/>
      <c r="H33" s="590"/>
      <c r="I33" s="590"/>
      <c r="J33" s="570"/>
      <c r="K33" s="929" t="str">
        <f>Language!A864</f>
        <v>Fig. 1: Fracciones de residuos sólidos gestionadas y no gestionadas en base al total generado en la totalidad de la zona considerada.</v>
      </c>
      <c r="L33" s="929"/>
      <c r="M33" s="929"/>
      <c r="N33" s="929"/>
      <c r="O33" s="929"/>
      <c r="P33" s="983"/>
      <c r="S33" s="602"/>
      <c r="T33" s="603" t="str">
        <f>Typical_costs!O3</f>
        <v>Compostaje [$$$/ton]</v>
      </c>
      <c r="U33" s="604" t="e">
        <f>Typical_costs!Q4</f>
        <v>#DIV/0!</v>
      </c>
      <c r="V33" s="1055"/>
      <c r="AB33" s="605"/>
      <c r="AC33" s="605"/>
      <c r="AD33" s="606"/>
      <c r="AE33" s="605"/>
      <c r="AF33" s="605"/>
      <c r="AG33" s="605"/>
      <c r="AH33" s="605"/>
      <c r="AI33" s="605"/>
      <c r="AJ33" s="605"/>
      <c r="AK33" s="605"/>
      <c r="AL33" s="605"/>
      <c r="AM33" s="605"/>
      <c r="AN33" s="605"/>
      <c r="AO33" s="605"/>
      <c r="AP33" s="605"/>
      <c r="AQ33" s="605"/>
      <c r="AR33" s="607"/>
      <c r="AV33" s="600" t="str">
        <f>'6) Anexos'!B14</f>
        <v>Personal de servicio de recolección total</v>
      </c>
      <c r="AW33" s="1022">
        <f>'6) Anexos'!C14</f>
        <v>0</v>
      </c>
      <c r="AX33" s="1022"/>
      <c r="AY33" s="1022" t="str">
        <f>IFERROR('6) Anexos'!D14,"")</f>
        <v/>
      </c>
      <c r="AZ33" s="1022"/>
      <c r="BA33" s="1022" t="str">
        <f>IFERROR('6) Anexos'!E14,"")</f>
        <v/>
      </c>
      <c r="BB33" s="1022"/>
      <c r="BC33" s="1022" t="str">
        <f>IFERROR('6) Anexos'!F14,"")</f>
        <v/>
      </c>
      <c r="BD33" s="1022"/>
      <c r="BE33" s="1022" t="str">
        <f>IFERROR('6) Anexos'!G14,"")</f>
        <v/>
      </c>
      <c r="BF33" s="1022"/>
      <c r="BG33" s="1022" t="str">
        <f>IFERROR('6) Anexos'!H14,"")</f>
        <v/>
      </c>
      <c r="BH33" s="1022"/>
      <c r="BI33" s="1022" t="str">
        <f>IFERROR('6) Anexos'!I14,"")</f>
        <v/>
      </c>
      <c r="BJ33" s="1022"/>
      <c r="BK33" s="1022" t="str">
        <f>IFERROR('6) Anexos'!J14,"")</f>
        <v/>
      </c>
      <c r="BL33" s="1022"/>
      <c r="BM33" s="1022" t="str">
        <f>IFERROR('6) Anexos'!K14,"")</f>
        <v/>
      </c>
      <c r="BN33" s="1050"/>
      <c r="BT33" s="304"/>
      <c r="CT33" s="553"/>
    </row>
    <row r="34" spans="2:98" ht="36" customHeight="1" thickBot="1" x14ac:dyDescent="0.4">
      <c r="B34" s="984" t="str">
        <f>Language!A873</f>
        <v>Tabla 2: Indicadores de eficiencia de la gestión de los residuos sólidos</v>
      </c>
      <c r="C34" s="985"/>
      <c r="D34" s="985"/>
      <c r="E34" s="985"/>
      <c r="F34" s="985"/>
      <c r="G34" s="985"/>
      <c r="H34" s="985"/>
      <c r="K34" s="929"/>
      <c r="L34" s="929"/>
      <c r="M34" s="929"/>
      <c r="N34" s="929"/>
      <c r="O34" s="929"/>
      <c r="P34" s="983"/>
      <c r="S34" s="304"/>
      <c r="V34" s="608"/>
      <c r="W34" s="608"/>
      <c r="X34" s="608"/>
      <c r="Y34" s="608"/>
      <c r="Z34" s="608"/>
      <c r="AA34" s="473"/>
      <c r="AB34" s="609"/>
      <c r="AR34" s="553"/>
      <c r="AV34" s="600" t="str">
        <f>'6) Anexos'!B15</f>
        <v>Cantidad de camiones de recolección</v>
      </c>
      <c r="AW34" s="1022">
        <f>'6) Anexos'!C15</f>
        <v>0</v>
      </c>
      <c r="AX34" s="1022"/>
      <c r="AY34" s="1022" t="str">
        <f>IFERROR('6) Anexos'!D15,"")</f>
        <v/>
      </c>
      <c r="AZ34" s="1022"/>
      <c r="BA34" s="1022" t="str">
        <f>IFERROR('6) Anexos'!E15,"")</f>
        <v/>
      </c>
      <c r="BB34" s="1022"/>
      <c r="BC34" s="1022" t="str">
        <f>IFERROR('6) Anexos'!F15,"")</f>
        <v/>
      </c>
      <c r="BD34" s="1022"/>
      <c r="BE34" s="1022" t="str">
        <f>IFERROR('6) Anexos'!G15,"")</f>
        <v/>
      </c>
      <c r="BF34" s="1022"/>
      <c r="BG34" s="1022" t="str">
        <f>IFERROR('6) Anexos'!H15,"")</f>
        <v/>
      </c>
      <c r="BH34" s="1022"/>
      <c r="BI34" s="1022" t="str">
        <f>IFERROR('6) Anexos'!I15,"")</f>
        <v/>
      </c>
      <c r="BJ34" s="1022"/>
      <c r="BK34" s="1022" t="str">
        <f>IFERROR('6) Anexos'!J15,"")</f>
        <v/>
      </c>
      <c r="BL34" s="1022"/>
      <c r="BM34" s="1022" t="str">
        <f>IFERROR('6) Anexos'!K15,"")</f>
        <v/>
      </c>
      <c r="BN34" s="1050"/>
      <c r="BT34" s="304"/>
      <c r="CT34" s="553"/>
    </row>
    <row r="35" spans="2:98" ht="29" thickBot="1" x14ac:dyDescent="0.4">
      <c r="B35" s="966" t="str">
        <f>Language!A127</f>
        <v>Indicadores de eficiencia</v>
      </c>
      <c r="C35" s="967"/>
      <c r="D35" s="967"/>
      <c r="E35" s="967"/>
      <c r="F35" s="968"/>
      <c r="G35" s="943" t="str">
        <f>Language!A827</f>
        <v>Residuos sólidos no gestionados en base al total generado en la zona considerada</v>
      </c>
      <c r="H35" s="944"/>
      <c r="I35" s="944"/>
      <c r="J35" s="944"/>
      <c r="K35" s="945"/>
      <c r="L35" s="610"/>
      <c r="M35" s="610"/>
      <c r="N35" s="610"/>
      <c r="O35" s="610"/>
      <c r="P35" s="611"/>
      <c r="S35" s="304"/>
      <c r="AB35" s="609"/>
      <c r="AR35" s="553"/>
      <c r="AV35" s="600" t="str">
        <f>'6) Anexos'!B16</f>
        <v>Cantidad de camiones de transporte</v>
      </c>
      <c r="AW35" s="1022">
        <f>'6) Anexos'!C16</f>
        <v>0</v>
      </c>
      <c r="AX35" s="1022"/>
      <c r="AY35" s="1022" t="str">
        <f>IFERROR('6) Anexos'!D16,"")</f>
        <v/>
      </c>
      <c r="AZ35" s="1022"/>
      <c r="BA35" s="1022" t="str">
        <f>IFERROR('6) Anexos'!E16,"")</f>
        <v/>
      </c>
      <c r="BB35" s="1022"/>
      <c r="BC35" s="1022" t="str">
        <f>IFERROR('6) Anexos'!F16,"")</f>
        <v/>
      </c>
      <c r="BD35" s="1022"/>
      <c r="BE35" s="1022" t="str">
        <f>IFERROR('6) Anexos'!G16,"")</f>
        <v/>
      </c>
      <c r="BF35" s="1022"/>
      <c r="BG35" s="1022" t="str">
        <f>IFERROR('6) Anexos'!H16,"")</f>
        <v/>
      </c>
      <c r="BH35" s="1022"/>
      <c r="BI35" s="1022" t="str">
        <f>IFERROR('6) Anexos'!I16,"")</f>
        <v/>
      </c>
      <c r="BJ35" s="1022"/>
      <c r="BK35" s="1022" t="str">
        <f>IFERROR('6) Anexos'!J16,"")</f>
        <v/>
      </c>
      <c r="BL35" s="1022"/>
      <c r="BM35" s="1022" t="str">
        <f>IFERROR('6) Anexos'!K16,"")</f>
        <v/>
      </c>
      <c r="BN35" s="1050"/>
      <c r="BT35" s="304"/>
      <c r="CT35" s="553"/>
    </row>
    <row r="36" spans="2:98" ht="29" thickBot="1" x14ac:dyDescent="0.4">
      <c r="B36" s="581" t="str">
        <f>'6) Anexos'!B31</f>
        <v>Cobertura del servicio de barrido de vías [%]</v>
      </c>
      <c r="C36" s="969" t="str">
        <f>'6) Anexos'!C31</f>
        <v/>
      </c>
      <c r="D36" s="969"/>
      <c r="E36" s="969"/>
      <c r="F36" s="970"/>
      <c r="G36" s="946"/>
      <c r="H36" s="947"/>
      <c r="I36" s="947"/>
      <c r="J36" s="947"/>
      <c r="K36" s="948"/>
      <c r="L36" s="610"/>
      <c r="M36" s="610"/>
      <c r="N36" s="610"/>
      <c r="O36" s="610"/>
      <c r="P36" s="611"/>
      <c r="S36" s="304"/>
      <c r="AB36" s="609"/>
      <c r="AR36" s="553"/>
      <c r="AV36" s="600" t="str">
        <f>'6) Anexos'!B31</f>
        <v>Cobertura del servicio de barrido de vías [%]</v>
      </c>
      <c r="AW36" s="1017" t="str">
        <f>'6) Anexos'!C31</f>
        <v/>
      </c>
      <c r="AX36" s="1017"/>
      <c r="AY36" s="1017" t="str">
        <f>'6) Anexos'!D31</f>
        <v/>
      </c>
      <c r="AZ36" s="1017"/>
      <c r="BA36" s="1017" t="str">
        <f>'6) Anexos'!E31</f>
        <v/>
      </c>
      <c r="BB36" s="1017"/>
      <c r="BC36" s="1017" t="str">
        <f>'6) Anexos'!F31</f>
        <v/>
      </c>
      <c r="BD36" s="1017"/>
      <c r="BE36" s="1017" t="str">
        <f>'6) Anexos'!G31</f>
        <v/>
      </c>
      <c r="BF36" s="1017"/>
      <c r="BG36" s="1017" t="str">
        <f>'6) Anexos'!H31</f>
        <v/>
      </c>
      <c r="BH36" s="1017"/>
      <c r="BI36" s="1017" t="str">
        <f>'6) Anexos'!I31</f>
        <v/>
      </c>
      <c r="BJ36" s="1017"/>
      <c r="BK36" s="1017" t="str">
        <f>'6) Anexos'!J31</f>
        <v/>
      </c>
      <c r="BL36" s="1017"/>
      <c r="BM36" s="1017" t="str">
        <f>'6) Anexos'!K31</f>
        <v/>
      </c>
      <c r="BN36" s="1026"/>
      <c r="BT36" s="304"/>
      <c r="CT36" s="553"/>
    </row>
    <row r="37" spans="2:98" ht="29.25" customHeight="1" thickBot="1" x14ac:dyDescent="0.4">
      <c r="B37" s="581" t="str">
        <f>'6) Anexos'!B32</f>
        <v>Cobertura del servicio de barrido de áreas públicas [%]</v>
      </c>
      <c r="C37" s="969" t="str">
        <f>'6) Anexos'!C32</f>
        <v/>
      </c>
      <c r="D37" s="969"/>
      <c r="E37" s="969"/>
      <c r="F37" s="970"/>
      <c r="G37" s="949"/>
      <c r="H37" s="950"/>
      <c r="I37" s="950"/>
      <c r="J37" s="950"/>
      <c r="K37" s="951"/>
      <c r="L37" s="610"/>
      <c r="M37" s="966" t="str">
        <f>Language!A833</f>
        <v>Contribución del sector informal</v>
      </c>
      <c r="N37" s="967"/>
      <c r="O37" s="968"/>
      <c r="P37" s="611"/>
      <c r="S37" s="304"/>
      <c r="AB37" s="609"/>
      <c r="AR37" s="553"/>
      <c r="AV37" s="600" t="str">
        <f>'6) Anexos'!B32</f>
        <v>Cobertura del servicio de barrido de áreas públicas [%]</v>
      </c>
      <c r="AW37" s="1017" t="str">
        <f>'6) Anexos'!C32</f>
        <v/>
      </c>
      <c r="AX37" s="1017"/>
      <c r="AY37" s="1017" t="str">
        <f>'6) Anexos'!D32</f>
        <v/>
      </c>
      <c r="AZ37" s="1017"/>
      <c r="BA37" s="1017" t="str">
        <f>'6) Anexos'!E32</f>
        <v/>
      </c>
      <c r="BB37" s="1017"/>
      <c r="BC37" s="1017" t="str">
        <f>'6) Anexos'!F32</f>
        <v/>
      </c>
      <c r="BD37" s="1017"/>
      <c r="BE37" s="1017" t="str">
        <f>'6) Anexos'!G32</f>
        <v/>
      </c>
      <c r="BF37" s="1017"/>
      <c r="BG37" s="1017" t="str">
        <f>'6) Anexos'!H32</f>
        <v/>
      </c>
      <c r="BH37" s="1017"/>
      <c r="BI37" s="1017" t="str">
        <f>'6) Anexos'!I32</f>
        <v/>
      </c>
      <c r="BJ37" s="1017"/>
      <c r="BK37" s="1017" t="str">
        <f>'6) Anexos'!J32</f>
        <v/>
      </c>
      <c r="BL37" s="1017"/>
      <c r="BM37" s="1017" t="str">
        <f>'6) Anexos'!K32</f>
        <v/>
      </c>
      <c r="BN37" s="1026"/>
      <c r="BT37" s="304"/>
      <c r="CT37" s="553"/>
    </row>
    <row r="38" spans="2:98" ht="28.5" customHeight="1" x14ac:dyDescent="0.35">
      <c r="B38" s="581" t="str">
        <f>'6) Anexos'!B33</f>
        <v>Cobertura del servicio de recolección [%]</v>
      </c>
      <c r="C38" s="963" t="str">
        <f>IFERROR('6) Anexos'!C33,"")</f>
        <v/>
      </c>
      <c r="D38" s="963"/>
      <c r="E38" s="963"/>
      <c r="F38" s="964"/>
      <c r="G38" s="223" t="str">
        <f>IFERROR(100%-C38,"")</f>
        <v/>
      </c>
      <c r="H38" s="1010" t="str">
        <f>Language!A828</f>
        <v>Residuos sólidos no recolectados: RS generados fuera de la zona de cobertura [%]</v>
      </c>
      <c r="I38" s="1011"/>
      <c r="J38" s="1011"/>
      <c r="K38" s="1012"/>
      <c r="M38" s="986" t="str">
        <f>Language!A834</f>
        <v>Las contribuciones siguientes aplican a los RS totales generados en la zona (zona con y sin cobertura formal)</v>
      </c>
      <c r="N38" s="987"/>
      <c r="O38" s="988"/>
      <c r="P38" s="553"/>
      <c r="S38" s="304"/>
      <c r="AB38" s="609"/>
      <c r="AR38" s="553"/>
      <c r="AV38" s="600" t="str">
        <f>'6) Anexos'!B33</f>
        <v>Cobertura del servicio de recolección [%]</v>
      </c>
      <c r="AW38" s="1017" t="str">
        <f>'6) Anexos'!C33</f>
        <v/>
      </c>
      <c r="AX38" s="1017"/>
      <c r="AY38" s="1017">
        <f>'6) Anexos'!D33</f>
        <v>0</v>
      </c>
      <c r="AZ38" s="1017"/>
      <c r="BA38" s="1017">
        <f>'6) Anexos'!E33</f>
        <v>0</v>
      </c>
      <c r="BB38" s="1017"/>
      <c r="BC38" s="1017">
        <f>'6) Anexos'!F33</f>
        <v>0</v>
      </c>
      <c r="BD38" s="1017"/>
      <c r="BE38" s="1017">
        <f>'6) Anexos'!G33</f>
        <v>0</v>
      </c>
      <c r="BF38" s="1017"/>
      <c r="BG38" s="1017">
        <f>'6) Anexos'!H33</f>
        <v>0</v>
      </c>
      <c r="BH38" s="1017"/>
      <c r="BI38" s="1017">
        <f>'6) Anexos'!I33</f>
        <v>0</v>
      </c>
      <c r="BJ38" s="1017"/>
      <c r="BK38" s="1017">
        <f>'6) Anexos'!J33</f>
        <v>0</v>
      </c>
      <c r="BL38" s="1017"/>
      <c r="BM38" s="1017">
        <f>'6) Anexos'!K33</f>
        <v>0</v>
      </c>
      <c r="BN38" s="1026"/>
      <c r="BT38" s="304"/>
      <c r="CT38" s="553"/>
    </row>
    <row r="39" spans="2:98" x14ac:dyDescent="0.35">
      <c r="B39" s="581" t="str">
        <f>'6) Anexos'!B34</f>
        <v>Porcentaje de residuos recolectados del total generado en el área con cobertura [%]</v>
      </c>
      <c r="C39" s="963" t="str">
        <f>'6) Anexos'!C34</f>
        <v/>
      </c>
      <c r="D39" s="963"/>
      <c r="E39" s="965"/>
      <c r="F39" s="612"/>
      <c r="G39" s="223" t="str">
        <f>IFERROR((100%-C39)*C38,"")</f>
        <v/>
      </c>
      <c r="H39" s="937" t="str">
        <f>Language!A829</f>
        <v>Residuos sólidos no recolectados: RS generados dentro de la zona de cobertura [%]</v>
      </c>
      <c r="I39" s="938"/>
      <c r="J39" s="938"/>
      <c r="K39" s="939"/>
      <c r="M39" s="598"/>
      <c r="N39" s="613"/>
      <c r="O39" s="614"/>
      <c r="P39" s="553"/>
      <c r="S39" s="304"/>
      <c r="AB39" s="609"/>
      <c r="AR39" s="553"/>
      <c r="AV39" s="600" t="str">
        <f>'6) Anexos'!B34</f>
        <v>Porcentaje de residuos recolectados del total generado en el área con cobertura [%]</v>
      </c>
      <c r="AW39" s="1017" t="str">
        <f>IFERROR('6) Anexos'!C34,"")</f>
        <v/>
      </c>
      <c r="AX39" s="1017"/>
      <c r="AY39" s="1017">
        <f>'6) Anexos'!D34</f>
        <v>1</v>
      </c>
      <c r="AZ39" s="1017"/>
      <c r="BA39" s="1017">
        <f>'6) Anexos'!E34</f>
        <v>1</v>
      </c>
      <c r="BB39" s="1017"/>
      <c r="BC39" s="1017">
        <f>'6) Anexos'!F34</f>
        <v>1</v>
      </c>
      <c r="BD39" s="1017"/>
      <c r="BE39" s="1017">
        <f>'6) Anexos'!G34</f>
        <v>1</v>
      </c>
      <c r="BF39" s="1017"/>
      <c r="BG39" s="1017">
        <f>'6) Anexos'!H34</f>
        <v>1</v>
      </c>
      <c r="BH39" s="1017"/>
      <c r="BI39" s="1017">
        <f>'6) Anexos'!I34</f>
        <v>1</v>
      </c>
      <c r="BJ39" s="1017"/>
      <c r="BK39" s="1017">
        <f>'6) Anexos'!J34</f>
        <v>1</v>
      </c>
      <c r="BL39" s="1017"/>
      <c r="BM39" s="1017">
        <f>'6) Anexos'!K34</f>
        <v>1</v>
      </c>
      <c r="BN39" s="1026"/>
      <c r="BT39" s="304"/>
      <c r="CT39" s="553"/>
    </row>
    <row r="40" spans="2:98" x14ac:dyDescent="0.35">
      <c r="B40" s="581" t="str">
        <f>'6) Anexos'!B35</f>
        <v>Porcentaje de residuos totales aprovechados [% de total recolectado]</v>
      </c>
      <c r="C40" s="963" t="str">
        <f>'6) Anexos'!C35</f>
        <v/>
      </c>
      <c r="D40" s="965"/>
      <c r="E40" s="615"/>
      <c r="F40" s="612"/>
      <c r="G40" s="223"/>
      <c r="H40" s="616"/>
      <c r="I40" s="617"/>
      <c r="J40" s="617"/>
      <c r="K40" s="618"/>
      <c r="M40" s="619" t="str">
        <f>Language!A835</f>
        <v>Residuos sólidos recolectados [%]</v>
      </c>
      <c r="N40" s="293" t="str">
        <f>IFERROR('0) Intro'!G22/('5) Calculos'!C88*365/1000)/coverage,"")</f>
        <v/>
      </c>
      <c r="O40" s="614"/>
      <c r="P40" s="553"/>
      <c r="S40" s="304"/>
      <c r="AB40" s="609"/>
      <c r="AR40" s="553"/>
      <c r="AV40" s="600" t="str">
        <f>'6) Anexos'!B35</f>
        <v>Porcentaje de residuos totales aprovechados [% de total recolectado]</v>
      </c>
      <c r="AW40" s="1017" t="str">
        <f>'6) Anexos'!C35</f>
        <v/>
      </c>
      <c r="AX40" s="1017"/>
      <c r="AY40" s="1017" t="str">
        <f>IFERROR('6) Anexos'!D35,"")</f>
        <v/>
      </c>
      <c r="AZ40" s="1017"/>
      <c r="BA40" s="1017" t="str">
        <f>IFERROR('6) Anexos'!E35,"")</f>
        <v/>
      </c>
      <c r="BB40" s="1017"/>
      <c r="BC40" s="1017" t="str">
        <f>IFERROR('6) Anexos'!F35,"")</f>
        <v/>
      </c>
      <c r="BD40" s="1017"/>
      <c r="BE40" s="1017" t="str">
        <f>IFERROR('6) Anexos'!G35,"")</f>
        <v/>
      </c>
      <c r="BF40" s="1017"/>
      <c r="BG40" s="1017" t="str">
        <f>IFERROR('6) Anexos'!H35,"")</f>
        <v/>
      </c>
      <c r="BH40" s="1017"/>
      <c r="BI40" s="1017" t="str">
        <f>IFERROR('6) Anexos'!I35,"")</f>
        <v/>
      </c>
      <c r="BJ40" s="1017"/>
      <c r="BK40" s="1017" t="str">
        <f>IFERROR('6) Anexos'!J35,"")</f>
        <v/>
      </c>
      <c r="BL40" s="1017"/>
      <c r="BM40" s="1017" t="str">
        <f>IFERROR('6) Anexos'!K35,"")</f>
        <v/>
      </c>
      <c r="BN40" s="1026"/>
      <c r="BT40" s="304"/>
      <c r="CT40" s="553"/>
    </row>
    <row r="41" spans="2:98" x14ac:dyDescent="0.35">
      <c r="B41" s="581" t="str">
        <f>'6) Anexos'!B36</f>
        <v>orgánicos [% del total recolectado]</v>
      </c>
      <c r="C41" s="222" t="str">
        <f>'6) Anexos'!C36</f>
        <v/>
      </c>
      <c r="D41" s="615"/>
      <c r="E41" s="615"/>
      <c r="F41" s="612"/>
      <c r="G41" s="223"/>
      <c r="H41" s="616"/>
      <c r="I41" s="617"/>
      <c r="J41" s="617"/>
      <c r="K41" s="618"/>
      <c r="M41" s="619" t="str">
        <f>Language!A836</f>
        <v>Orgánicos gestionados [%]</v>
      </c>
      <c r="N41" s="293" t="str">
        <f>IFERROR('0) Intro'!G23/('5) Calculos'!C88*365/1000)/coverage,"")</f>
        <v/>
      </c>
      <c r="O41" s="614"/>
      <c r="P41" s="553"/>
      <c r="S41" s="304"/>
      <c r="AB41" s="609"/>
      <c r="AR41" s="553"/>
      <c r="AV41" s="600" t="str">
        <f>'6) Anexos'!B36</f>
        <v>orgánicos [% del total recolectado]</v>
      </c>
      <c r="AW41" s="1017" t="str">
        <f>'6) Anexos'!C36</f>
        <v/>
      </c>
      <c r="AX41" s="1017"/>
      <c r="AY41" s="1017">
        <f>'6) Anexos'!D36</f>
        <v>0</v>
      </c>
      <c r="AZ41" s="1017"/>
      <c r="BA41" s="1017">
        <f>'6) Anexos'!E36</f>
        <v>0</v>
      </c>
      <c r="BB41" s="1017"/>
      <c r="BC41" s="1017">
        <f>'6) Anexos'!F36</f>
        <v>0</v>
      </c>
      <c r="BD41" s="1017"/>
      <c r="BE41" s="1017">
        <f>'6) Anexos'!G36</f>
        <v>0</v>
      </c>
      <c r="BF41" s="1017"/>
      <c r="BG41" s="1017">
        <f>'6) Anexos'!H36</f>
        <v>0</v>
      </c>
      <c r="BH41" s="1017"/>
      <c r="BI41" s="1017">
        <f>'6) Anexos'!I36</f>
        <v>0</v>
      </c>
      <c r="BJ41" s="1017"/>
      <c r="BK41" s="1017" t="str">
        <f>IFERROR('6) Anexos'!J36,"")</f>
        <v/>
      </c>
      <c r="BL41" s="1017"/>
      <c r="BM41" s="1017" t="str">
        <f>IFERROR('6) Anexos'!K36,"")</f>
        <v/>
      </c>
      <c r="BN41" s="1026"/>
      <c r="BT41" s="304"/>
      <c r="CT41" s="553"/>
    </row>
    <row r="42" spans="2:98" x14ac:dyDescent="0.35">
      <c r="B42" s="581" t="str">
        <f>'6) Anexos'!B37</f>
        <v>Reciclables [% del total recolectado]</v>
      </c>
      <c r="C42" s="222" t="str">
        <f>'6) Anexos'!C37</f>
        <v/>
      </c>
      <c r="D42" s="615"/>
      <c r="E42" s="615"/>
      <c r="F42" s="612"/>
      <c r="G42" s="223"/>
      <c r="H42" s="616"/>
      <c r="I42" s="617"/>
      <c r="J42" s="617"/>
      <c r="K42" s="618"/>
      <c r="M42" s="619" t="str">
        <f>Language!A837</f>
        <v>Reciclables gestionados [%]</v>
      </c>
      <c r="N42" s="293" t="str">
        <f>IFERROR('0) Intro'!G24/('5) Calculos'!C88*365/1000)/coverage,"")</f>
        <v/>
      </c>
      <c r="O42" s="614"/>
      <c r="P42" s="553"/>
      <c r="S42" s="304"/>
      <c r="AB42" s="609"/>
      <c r="AR42" s="553"/>
      <c r="AV42" s="600" t="str">
        <f>'6) Anexos'!B37</f>
        <v>Reciclables [% del total recolectado]</v>
      </c>
      <c r="AW42" s="1017" t="str">
        <f>'6) Anexos'!C37</f>
        <v/>
      </c>
      <c r="AX42" s="1017"/>
      <c r="AY42" s="1017">
        <f>'6) Anexos'!D37</f>
        <v>0</v>
      </c>
      <c r="AZ42" s="1017"/>
      <c r="BA42" s="1017">
        <f>'6) Anexos'!E37</f>
        <v>0</v>
      </c>
      <c r="BB42" s="1017"/>
      <c r="BC42" s="1017">
        <f>'6) Anexos'!F37</f>
        <v>0</v>
      </c>
      <c r="BD42" s="1017"/>
      <c r="BE42" s="1017">
        <f>'6) Anexos'!G37</f>
        <v>0</v>
      </c>
      <c r="BF42" s="1017"/>
      <c r="BG42" s="1017">
        <f>'6) Anexos'!H37</f>
        <v>0</v>
      </c>
      <c r="BH42" s="1017"/>
      <c r="BI42" s="1017">
        <f>'6) Anexos'!I37</f>
        <v>0</v>
      </c>
      <c r="BJ42" s="1017"/>
      <c r="BK42" s="1017" t="str">
        <f>IFERROR('6) Anexos'!J37,"")</f>
        <v/>
      </c>
      <c r="BL42" s="1017"/>
      <c r="BM42" s="1017" t="str">
        <f>IFERROR('6) Anexos'!K37,"")</f>
        <v/>
      </c>
      <c r="BN42" s="1026"/>
      <c r="BT42" s="304"/>
      <c r="CT42" s="553"/>
    </row>
    <row r="43" spans="2:98" ht="15" thickBot="1" x14ac:dyDescent="0.4">
      <c r="B43" s="581" t="str">
        <f>'6) Anexos'!B38</f>
        <v>Residuos dispuestos de forma sanitariamente segura [% de total recolectado]</v>
      </c>
      <c r="C43" s="969" t="str">
        <f>'6) Anexos'!C38</f>
        <v/>
      </c>
      <c r="D43" s="971"/>
      <c r="E43" s="615"/>
      <c r="F43" s="612"/>
      <c r="G43" s="223"/>
      <c r="H43" s="616"/>
      <c r="I43" s="617"/>
      <c r="J43" s="617"/>
      <c r="K43" s="618"/>
      <c r="M43" s="620" t="str">
        <f>Language!A838</f>
        <v>Disposición final adecuada [%]</v>
      </c>
      <c r="N43" s="294" t="str">
        <f>IFERROR('0) Intro'!G25/('5) Calculos'!C88*365/1000)/coverage,"")</f>
        <v/>
      </c>
      <c r="O43" s="621"/>
      <c r="P43" s="553"/>
      <c r="S43" s="304"/>
      <c r="AB43" s="609"/>
      <c r="AR43" s="553"/>
      <c r="AV43" s="622" t="str">
        <f>'6) Anexos'!B38</f>
        <v>Residuos dispuestos de forma sanitariamente segura [% de total recolectado]</v>
      </c>
      <c r="AW43" s="1024" t="str">
        <f>'6) Anexos'!C38</f>
        <v/>
      </c>
      <c r="AX43" s="1024"/>
      <c r="AY43" s="1024">
        <f>'6) Anexos'!D38</f>
        <v>1</v>
      </c>
      <c r="AZ43" s="1024"/>
      <c r="BA43" s="1024">
        <f>'6) Anexos'!E38</f>
        <v>1</v>
      </c>
      <c r="BB43" s="1024"/>
      <c r="BC43" s="1024">
        <f>'6) Anexos'!F38</f>
        <v>1</v>
      </c>
      <c r="BD43" s="1024"/>
      <c r="BE43" s="1024">
        <f>'6) Anexos'!G38</f>
        <v>1</v>
      </c>
      <c r="BF43" s="1024"/>
      <c r="BG43" s="1024">
        <f>'6) Anexos'!H38</f>
        <v>1</v>
      </c>
      <c r="BH43" s="1024"/>
      <c r="BI43" s="1024">
        <f>'6) Anexos'!I38</f>
        <v>1</v>
      </c>
      <c r="BJ43" s="1024"/>
      <c r="BK43" s="1024" t="str">
        <f>IFERROR('6) Anexos'!J38,"")</f>
        <v/>
      </c>
      <c r="BL43" s="1024"/>
      <c r="BM43" s="1024" t="str">
        <f>IFERROR('6) Anexos'!K38,"")</f>
        <v/>
      </c>
      <c r="BN43" s="1025"/>
      <c r="BT43" s="304"/>
      <c r="CT43" s="553"/>
    </row>
    <row r="44" spans="2:98" ht="15" thickBot="1" x14ac:dyDescent="0.4">
      <c r="B44" s="623" t="str">
        <f>'6) Anexos'!B39</f>
        <v>Residuos recolectados no gestionados de forma segura [% del total recolectado]</v>
      </c>
      <c r="C44" s="952" t="str">
        <f>'6) Anexos'!C39</f>
        <v/>
      </c>
      <c r="D44" s="953"/>
      <c r="E44" s="624"/>
      <c r="F44" s="625"/>
      <c r="G44" s="223" t="str">
        <f>IFERROR(C44*C39*C38,"")</f>
        <v/>
      </c>
      <c r="H44" s="934" t="str">
        <f>Language!A830</f>
        <v>Residuos sólidos recolectados no gestionados de forma segura [%]</v>
      </c>
      <c r="I44" s="935"/>
      <c r="J44" s="935"/>
      <c r="K44" s="936"/>
      <c r="L44" s="534"/>
      <c r="M44" s="927" t="str">
        <f>Language!A874</f>
        <v>Tabla 3: Contribución del sector informal</v>
      </c>
      <c r="N44" s="927"/>
      <c r="O44" s="927"/>
      <c r="P44" s="626"/>
      <c r="S44" s="304"/>
      <c r="AB44" s="609"/>
      <c r="AR44" s="553"/>
      <c r="AV44" s="927" t="str">
        <f>Language!A877</f>
        <v>Tabla 6: Indicadores de eficiencia de la gestión de los residuos sólidos para el caso real y los escenarios de modelización</v>
      </c>
      <c r="AW44" s="927"/>
      <c r="AX44" s="927"/>
      <c r="AY44" s="927"/>
      <c r="AZ44" s="927"/>
      <c r="BA44" s="927"/>
      <c r="BB44" s="927"/>
      <c r="BC44" s="927"/>
      <c r="BD44" s="927"/>
      <c r="BE44" s="927"/>
      <c r="BF44" s="927"/>
      <c r="BG44" s="927"/>
      <c r="BH44" s="927"/>
      <c r="BI44" s="927"/>
      <c r="BJ44" s="927"/>
      <c r="BK44" s="927"/>
      <c r="BL44" s="927"/>
      <c r="BM44" s="927"/>
      <c r="BN44" s="927"/>
      <c r="BT44" s="304"/>
      <c r="CT44" s="553"/>
    </row>
    <row r="45" spans="2:98" ht="15" thickBot="1" x14ac:dyDescent="0.4">
      <c r="B45" s="627" t="str">
        <f>Language!A832</f>
        <v>Residuos sólidos totales gestionados [%]</v>
      </c>
      <c r="C45" s="940" t="e">
        <f>100%-G45</f>
        <v>#VALUE!</v>
      </c>
      <c r="D45" s="941"/>
      <c r="E45" s="941"/>
      <c r="F45" s="942"/>
      <c r="G45" s="152" t="str">
        <f>IFERROR(G38+(100%-C39)*C38+C44*C39*C38,"")</f>
        <v/>
      </c>
      <c r="H45" s="931" t="str">
        <f>Language!A831</f>
        <v>Residuos sólidos totales no gestionados [%]</v>
      </c>
      <c r="I45" s="932"/>
      <c r="J45" s="932"/>
      <c r="K45" s="933"/>
      <c r="L45" s="392"/>
      <c r="M45" s="928"/>
      <c r="N45" s="928"/>
      <c r="O45" s="928"/>
      <c r="P45" s="628"/>
      <c r="S45" s="304"/>
      <c r="AB45" s="609"/>
      <c r="AR45" s="553"/>
      <c r="AV45" s="928"/>
      <c r="AW45" s="928"/>
      <c r="AX45" s="928"/>
      <c r="AY45" s="928"/>
      <c r="AZ45" s="928"/>
      <c r="BA45" s="928"/>
      <c r="BB45" s="928"/>
      <c r="BC45" s="928"/>
      <c r="BD45" s="928"/>
      <c r="BE45" s="928"/>
      <c r="BF45" s="928"/>
      <c r="BG45" s="928"/>
      <c r="BH45" s="928"/>
      <c r="BI45" s="928"/>
      <c r="BJ45" s="928"/>
      <c r="BK45" s="928"/>
      <c r="BL45" s="928"/>
      <c r="BM45" s="928"/>
      <c r="BN45" s="928"/>
      <c r="BT45" s="304"/>
      <c r="CT45" s="553"/>
    </row>
    <row r="46" spans="2:98" ht="19" thickBot="1" x14ac:dyDescent="0.4">
      <c r="B46" s="1051" t="str">
        <f>Language!A873</f>
        <v>Tabla 2: Indicadores de eficiencia de la gestión de los residuos sólidos</v>
      </c>
      <c r="C46" s="1052"/>
      <c r="D46" s="1052"/>
      <c r="E46" s="1052"/>
      <c r="F46" s="1052"/>
      <c r="G46" s="1052"/>
      <c r="H46" s="1052"/>
      <c r="I46" s="1052"/>
      <c r="J46" s="1052"/>
      <c r="K46" s="1052"/>
      <c r="L46" s="629"/>
      <c r="M46" s="629"/>
      <c r="N46" s="629"/>
      <c r="O46" s="629"/>
      <c r="P46" s="593"/>
      <c r="S46" s="304"/>
      <c r="AB46" s="609"/>
      <c r="AR46" s="553"/>
      <c r="AV46" s="928"/>
      <c r="AW46" s="928"/>
      <c r="AX46" s="928"/>
      <c r="AY46" s="928"/>
      <c r="AZ46" s="928"/>
      <c r="BA46" s="928"/>
      <c r="BB46" s="928"/>
      <c r="BC46" s="928"/>
      <c r="BD46" s="928"/>
      <c r="BE46" s="928"/>
      <c r="BF46" s="928"/>
      <c r="BG46" s="928"/>
      <c r="BH46" s="928"/>
      <c r="BI46" s="928"/>
      <c r="BJ46" s="928"/>
      <c r="BK46" s="928"/>
      <c r="BL46" s="928"/>
      <c r="BM46" s="928"/>
      <c r="BN46" s="928"/>
      <c r="BT46" s="304"/>
      <c r="CT46" s="553"/>
    </row>
    <row r="47" spans="2:98" x14ac:dyDescent="0.35">
      <c r="S47" s="304"/>
      <c r="AB47" s="609"/>
      <c r="AR47" s="553"/>
      <c r="BT47" s="304"/>
      <c r="CT47" s="553"/>
    </row>
    <row r="48" spans="2:98" x14ac:dyDescent="0.35">
      <c r="S48" s="304"/>
      <c r="AB48" s="609"/>
      <c r="AR48" s="553"/>
      <c r="BT48" s="304"/>
      <c r="CT48" s="553"/>
    </row>
    <row r="49" spans="19:98" x14ac:dyDescent="0.35">
      <c r="S49" s="304"/>
      <c r="AB49" s="609"/>
      <c r="AR49" s="553"/>
      <c r="BT49" s="304"/>
      <c r="CT49" s="553"/>
    </row>
    <row r="50" spans="19:98" x14ac:dyDescent="0.35">
      <c r="S50" s="304"/>
      <c r="AB50" s="609"/>
      <c r="AR50" s="553"/>
      <c r="BT50" s="304"/>
      <c r="CT50" s="553"/>
    </row>
    <row r="51" spans="19:98" x14ac:dyDescent="0.35">
      <c r="S51" s="304"/>
      <c r="AB51" s="609"/>
      <c r="AR51" s="553"/>
      <c r="BT51" s="304"/>
      <c r="CT51" s="553"/>
    </row>
    <row r="52" spans="19:98" x14ac:dyDescent="0.35">
      <c r="S52" s="304"/>
      <c r="AB52" s="609"/>
      <c r="AR52" s="553"/>
      <c r="BT52" s="304"/>
      <c r="CT52" s="553"/>
    </row>
    <row r="53" spans="19:98" x14ac:dyDescent="0.35">
      <c r="S53" s="304"/>
      <c r="AB53" s="609"/>
      <c r="AR53" s="553"/>
      <c r="BT53" s="304"/>
      <c r="CT53" s="553"/>
    </row>
    <row r="54" spans="19:98" x14ac:dyDescent="0.35">
      <c r="S54" s="304"/>
      <c r="AB54" s="609"/>
      <c r="AR54" s="553"/>
      <c r="BT54" s="304"/>
      <c r="CT54" s="553"/>
    </row>
    <row r="55" spans="19:98" x14ac:dyDescent="0.35">
      <c r="S55" s="304"/>
      <c r="AB55" s="609"/>
      <c r="AR55" s="553"/>
      <c r="BT55" s="304"/>
      <c r="CT55" s="553"/>
    </row>
    <row r="56" spans="19:98" x14ac:dyDescent="0.35">
      <c r="S56" s="304"/>
      <c r="AB56" s="609"/>
      <c r="AR56" s="553"/>
      <c r="BT56" s="304"/>
      <c r="CT56" s="553"/>
    </row>
    <row r="57" spans="19:98" x14ac:dyDescent="0.35">
      <c r="S57" s="304"/>
      <c r="AB57" s="609"/>
      <c r="AR57" s="553"/>
      <c r="BT57" s="304"/>
      <c r="CT57" s="553"/>
    </row>
    <row r="58" spans="19:98" x14ac:dyDescent="0.35">
      <c r="S58" s="304"/>
      <c r="AB58" s="609"/>
      <c r="AR58" s="553"/>
      <c r="BT58" s="304"/>
      <c r="CT58" s="553"/>
    </row>
    <row r="59" spans="19:98" ht="15" customHeight="1" x14ac:dyDescent="0.35">
      <c r="S59" s="304"/>
      <c r="AB59" s="609"/>
      <c r="AC59" s="930" t="str">
        <f>Language!A868</f>
        <v>Fig. 5: Comparación de los costos actuales con los costos típicos de gestión de residuos para diferentes niveles de renta de los países</v>
      </c>
      <c r="AD59" s="930"/>
      <c r="AE59" s="930"/>
      <c r="AF59" s="930"/>
      <c r="AG59" s="930"/>
      <c r="AH59" s="930"/>
      <c r="AI59" s="930"/>
      <c r="AJ59" s="930"/>
      <c r="AK59" s="930"/>
      <c r="AL59" s="930"/>
      <c r="AM59" s="930"/>
      <c r="AN59" s="930"/>
      <c r="AO59" s="930"/>
      <c r="AP59" s="930"/>
      <c r="AQ59" s="930"/>
      <c r="AR59" s="553"/>
      <c r="BT59" s="304"/>
      <c r="CT59" s="553"/>
    </row>
    <row r="60" spans="19:98" ht="15" customHeight="1" x14ac:dyDescent="0.35">
      <c r="S60" s="1057" t="str">
        <f>Language!A867</f>
        <v>Fig. 4: Costos, presupuesto e ingresos anuales</v>
      </c>
      <c r="T60" s="930"/>
      <c r="U60" s="930"/>
      <c r="V60" s="930"/>
      <c r="W60" s="930"/>
      <c r="X60" s="930"/>
      <c r="Y60" s="930"/>
      <c r="Z60" s="930"/>
      <c r="AA60" s="930"/>
      <c r="AB60" s="609"/>
      <c r="AC60" s="930"/>
      <c r="AD60" s="930"/>
      <c r="AE60" s="930"/>
      <c r="AF60" s="930"/>
      <c r="AG60" s="930"/>
      <c r="AH60" s="930"/>
      <c r="AI60" s="930"/>
      <c r="AJ60" s="930"/>
      <c r="AK60" s="930"/>
      <c r="AL60" s="930"/>
      <c r="AM60" s="930"/>
      <c r="AN60" s="930"/>
      <c r="AO60" s="930"/>
      <c r="AP60" s="930"/>
      <c r="AQ60" s="930"/>
      <c r="AR60" s="553"/>
      <c r="BT60" s="304"/>
      <c r="BW60" s="930" t="str">
        <f>Language!A870</f>
        <v>Fig. 7: Costos anuales de gestión de los residuos sólidos estimados en los escenarios de modelización</v>
      </c>
      <c r="BX60" s="930"/>
      <c r="BY60" s="930"/>
      <c r="BZ60" s="930"/>
      <c r="CA60" s="930"/>
      <c r="CB60" s="930"/>
      <c r="CC60" s="930"/>
      <c r="CD60" s="930"/>
      <c r="CE60" s="930"/>
      <c r="CF60" s="930"/>
      <c r="CG60" s="930"/>
      <c r="CH60" s="930"/>
      <c r="CI60" s="930"/>
      <c r="CJ60" s="930"/>
      <c r="CK60" s="930"/>
      <c r="CL60" s="930"/>
      <c r="CM60" s="930"/>
      <c r="CN60" s="930"/>
      <c r="CO60" s="930"/>
      <c r="CP60" s="930"/>
      <c r="CQ60" s="930"/>
      <c r="CR60" s="930"/>
      <c r="CS60" s="930"/>
      <c r="CT60" s="553"/>
    </row>
    <row r="61" spans="19:98" ht="15" customHeight="1" x14ac:dyDescent="0.35">
      <c r="S61" s="1057"/>
      <c r="T61" s="930"/>
      <c r="U61" s="930"/>
      <c r="V61" s="930"/>
      <c r="W61" s="930"/>
      <c r="X61" s="930"/>
      <c r="Y61" s="930"/>
      <c r="Z61" s="930"/>
      <c r="AA61" s="930"/>
      <c r="AB61" s="609"/>
      <c r="AC61" s="930"/>
      <c r="AD61" s="930"/>
      <c r="AE61" s="930"/>
      <c r="AF61" s="930"/>
      <c r="AG61" s="930"/>
      <c r="AH61" s="930"/>
      <c r="AI61" s="930"/>
      <c r="AJ61" s="930"/>
      <c r="AK61" s="930"/>
      <c r="AL61" s="930"/>
      <c r="AM61" s="930"/>
      <c r="AN61" s="930"/>
      <c r="AO61" s="930"/>
      <c r="AP61" s="930"/>
      <c r="AQ61" s="930"/>
      <c r="AR61" s="553"/>
      <c r="BT61" s="304"/>
      <c r="BV61" s="630"/>
      <c r="BW61" s="930"/>
      <c r="BX61" s="930"/>
      <c r="BY61" s="930"/>
      <c r="BZ61" s="930"/>
      <c r="CA61" s="930"/>
      <c r="CB61" s="930"/>
      <c r="CC61" s="930"/>
      <c r="CD61" s="930"/>
      <c r="CE61" s="930"/>
      <c r="CF61" s="930"/>
      <c r="CG61" s="930"/>
      <c r="CH61" s="930"/>
      <c r="CI61" s="930"/>
      <c r="CJ61" s="930"/>
      <c r="CK61" s="930"/>
      <c r="CL61" s="930"/>
      <c r="CM61" s="930"/>
      <c r="CN61" s="930"/>
      <c r="CO61" s="930"/>
      <c r="CP61" s="930"/>
      <c r="CQ61" s="930"/>
      <c r="CR61" s="930"/>
      <c r="CS61" s="930"/>
      <c r="CT61" s="553"/>
    </row>
    <row r="62" spans="19:98" ht="15" thickBot="1" x14ac:dyDescent="0.4">
      <c r="S62" s="1057"/>
      <c r="T62" s="930"/>
      <c r="U62" s="930"/>
      <c r="V62" s="930"/>
      <c r="W62" s="930"/>
      <c r="X62" s="930"/>
      <c r="Y62" s="930"/>
      <c r="Z62" s="930"/>
      <c r="AA62" s="930"/>
      <c r="AB62" s="609"/>
      <c r="AC62" s="930"/>
      <c r="AD62" s="930"/>
      <c r="AE62" s="930"/>
      <c r="AF62" s="930"/>
      <c r="AG62" s="930"/>
      <c r="AH62" s="930"/>
      <c r="AI62" s="930"/>
      <c r="AJ62" s="930"/>
      <c r="AK62" s="930"/>
      <c r="AL62" s="930"/>
      <c r="AM62" s="930"/>
      <c r="AN62" s="930"/>
      <c r="AO62" s="930"/>
      <c r="AP62" s="930"/>
      <c r="AQ62" s="930"/>
      <c r="AR62" s="553"/>
      <c r="BT62" s="462"/>
      <c r="BU62" s="629"/>
      <c r="BV62" s="629"/>
      <c r="BW62" s="629"/>
      <c r="BX62" s="629"/>
      <c r="BY62" s="629"/>
      <c r="BZ62" s="629"/>
      <c r="CA62" s="629"/>
      <c r="CB62" s="629"/>
      <c r="CC62" s="629"/>
      <c r="CD62" s="629"/>
      <c r="CE62" s="629"/>
      <c r="CF62" s="629"/>
      <c r="CG62" s="629"/>
      <c r="CH62" s="629"/>
      <c r="CI62" s="629"/>
      <c r="CJ62" s="629"/>
      <c r="CK62" s="629"/>
      <c r="CL62" s="629"/>
      <c r="CM62" s="629"/>
      <c r="CN62" s="629"/>
      <c r="CO62" s="629"/>
      <c r="CP62" s="629"/>
      <c r="CQ62" s="629"/>
      <c r="CR62" s="629"/>
      <c r="CS62" s="629"/>
      <c r="CT62" s="593"/>
    </row>
    <row r="63" spans="19:98" ht="6" customHeight="1" thickBot="1" x14ac:dyDescent="0.4">
      <c r="S63" s="462"/>
      <c r="T63" s="629"/>
      <c r="U63" s="629"/>
      <c r="V63" s="629"/>
      <c r="W63" s="629"/>
      <c r="X63" s="629"/>
      <c r="Y63" s="629"/>
      <c r="Z63" s="629"/>
      <c r="AA63" s="629"/>
      <c r="AB63" s="631"/>
      <c r="AC63" s="629"/>
      <c r="AD63" s="629"/>
      <c r="AE63" s="629"/>
      <c r="AF63" s="629"/>
      <c r="AG63" s="629"/>
      <c r="AH63" s="629"/>
      <c r="AI63" s="629"/>
      <c r="AJ63" s="629"/>
      <c r="AK63" s="629"/>
      <c r="AL63" s="629"/>
      <c r="AM63" s="629"/>
      <c r="AN63" s="629"/>
      <c r="AO63" s="629"/>
      <c r="AP63" s="629"/>
      <c r="AQ63" s="629"/>
      <c r="AR63" s="593"/>
    </row>
    <row r="64" spans="19:98" x14ac:dyDescent="0.35"/>
    <row r="65" spans="2:97" x14ac:dyDescent="0.35"/>
    <row r="66" spans="2:97" x14ac:dyDescent="0.35"/>
    <row r="67" spans="2:97" hidden="1" x14ac:dyDescent="0.35">
      <c r="B67" s="299" t="s">
        <v>1490</v>
      </c>
      <c r="AV67" s="632" t="str">
        <f>Language!A745</f>
        <v>Costo de barrido/limpieza urbana [$$$/año]</v>
      </c>
      <c r="AW67" s="633"/>
      <c r="AX67" s="634"/>
      <c r="AY67" s="635">
        <f>'5) Calculos'!C290</f>
        <v>0</v>
      </c>
      <c r="AZ67" s="636"/>
      <c r="BA67" s="635">
        <f>'5) Calculos'!D290</f>
        <v>0</v>
      </c>
      <c r="BB67" s="636"/>
      <c r="BC67" s="637">
        <f>'5) Calculos'!E290</f>
        <v>0</v>
      </c>
      <c r="BD67" s="636"/>
      <c r="BE67" s="635">
        <f>'5) Calculos'!F290</f>
        <v>0</v>
      </c>
      <c r="BF67" s="635"/>
      <c r="BG67" s="637">
        <f>'5) Calculos'!G290</f>
        <v>0</v>
      </c>
      <c r="BH67" s="636"/>
      <c r="BI67" s="635">
        <f>'5) Calculos'!H290</f>
        <v>0</v>
      </c>
      <c r="BJ67" s="636"/>
      <c r="BK67" s="638">
        <f>'5) Calculos'!I290</f>
        <v>0</v>
      </c>
      <c r="BL67" s="639"/>
      <c r="BM67" s="640">
        <f>'5) Calculos'!M290</f>
        <v>0</v>
      </c>
      <c r="BN67" s="641"/>
      <c r="CA67" s="642" t="s">
        <v>80</v>
      </c>
      <c r="CB67" s="643"/>
      <c r="CC67" s="643"/>
      <c r="CD67" s="643"/>
      <c r="CE67" s="643"/>
      <c r="CF67" s="643"/>
      <c r="CG67" s="643"/>
      <c r="CH67" s="644"/>
      <c r="CI67" s="644"/>
      <c r="CJ67" s="644"/>
      <c r="CK67" s="644"/>
      <c r="CL67" s="644"/>
      <c r="CM67" s="644"/>
      <c r="CN67" s="644"/>
      <c r="CO67" s="644"/>
      <c r="CP67" s="644"/>
      <c r="CQ67" s="644"/>
      <c r="CR67" s="644"/>
      <c r="CS67" s="645"/>
    </row>
    <row r="68" spans="2:97" ht="18.5" hidden="1" x14ac:dyDescent="0.45">
      <c r="AV68" s="498" t="str">
        <f>Language!A746</f>
        <v>Costo de recolección primaria [$$$/año]</v>
      </c>
      <c r="AW68" s="646"/>
      <c r="AX68" s="647"/>
      <c r="AY68" s="648" t="str">
        <f>'5) Calculos'!C291</f>
        <v/>
      </c>
      <c r="AZ68" s="649"/>
      <c r="BA68" s="648" t="str">
        <f>'5) Calculos'!D291</f>
        <v/>
      </c>
      <c r="BB68" s="649"/>
      <c r="BC68" s="650" t="str">
        <f>'5) Calculos'!E291</f>
        <v/>
      </c>
      <c r="BD68" s="649"/>
      <c r="BE68" s="648" t="str">
        <f>'5) Calculos'!F291</f>
        <v/>
      </c>
      <c r="BF68" s="648"/>
      <c r="BG68" s="650" t="str">
        <f>'5) Calculos'!G291</f>
        <v/>
      </c>
      <c r="BH68" s="649"/>
      <c r="BI68" s="648" t="str">
        <f>'5) Calculos'!H291</f>
        <v/>
      </c>
      <c r="BJ68" s="649"/>
      <c r="BK68" s="651" t="str">
        <f>'5) Calculos'!I291</f>
        <v/>
      </c>
      <c r="BL68" s="652"/>
      <c r="BM68" s="653" t="str">
        <f>'5) Calculos'!M291</f>
        <v/>
      </c>
      <c r="BN68" s="654"/>
      <c r="CA68" s="655" t="s">
        <v>174</v>
      </c>
      <c r="CB68" s="656"/>
      <c r="CC68" s="656"/>
      <c r="CD68" s="191" t="e">
        <f>'5) Calculos'!C310</f>
        <v>#DIV/0!</v>
      </c>
      <c r="CE68" s="657"/>
      <c r="CF68" s="191" t="e">
        <f>'5) Calculos'!D310</f>
        <v>#DIV/0!</v>
      </c>
      <c r="CG68" s="657"/>
      <c r="CH68" s="191" t="e">
        <f>'5) Calculos'!E310</f>
        <v>#DIV/0!</v>
      </c>
      <c r="CI68" s="191"/>
      <c r="CJ68" s="191" t="e">
        <f>'5) Calculos'!F310</f>
        <v>#DIV/0!</v>
      </c>
      <c r="CK68" s="191"/>
      <c r="CL68" s="191" t="e">
        <f>'5) Calculos'!G310</f>
        <v>#DIV/0!</v>
      </c>
      <c r="CM68" s="191"/>
      <c r="CN68" s="191" t="e">
        <f>'5) Calculos'!H310</f>
        <v>#DIV/0!</v>
      </c>
      <c r="CO68" s="191"/>
      <c r="CP68" s="191" t="e">
        <f>'5) Calculos'!I310</f>
        <v>#DIV/0!</v>
      </c>
      <c r="CQ68" s="191"/>
      <c r="CR68" s="191" t="e">
        <f>'5) Calculos'!M310</f>
        <v>#DIV/0!</v>
      </c>
      <c r="CS68" s="192"/>
    </row>
    <row r="69" spans="2:97" hidden="1" x14ac:dyDescent="0.35">
      <c r="AV69" s="498" t="str">
        <f>Language!A747</f>
        <v>Costo de camiones recolectores [$$$/año]</v>
      </c>
      <c r="AW69" s="646"/>
      <c r="AX69" s="647"/>
      <c r="AY69" s="648" t="e">
        <f>'5) Calculos'!C292</f>
        <v>#DIV/0!</v>
      </c>
      <c r="AZ69" s="649"/>
      <c r="BA69" s="648" t="e">
        <f>'5) Calculos'!D292</f>
        <v>#DIV/0!</v>
      </c>
      <c r="BB69" s="649"/>
      <c r="BC69" s="650" t="e">
        <f>'5) Calculos'!E292</f>
        <v>#DIV/0!</v>
      </c>
      <c r="BD69" s="649"/>
      <c r="BE69" s="648" t="e">
        <f>'5) Calculos'!F292</f>
        <v>#DIV/0!</v>
      </c>
      <c r="BF69" s="648"/>
      <c r="BG69" s="650" t="e">
        <f>'5) Calculos'!G292</f>
        <v>#DIV/0!</v>
      </c>
      <c r="BH69" s="649"/>
      <c r="BI69" s="648" t="e">
        <f>'5) Calculos'!H292</f>
        <v>#DIV/0!</v>
      </c>
      <c r="BJ69" s="649"/>
      <c r="BK69" s="651" t="e">
        <f>'5) Calculos'!I292</f>
        <v>#DIV/0!</v>
      </c>
      <c r="BL69" s="652"/>
      <c r="BM69" s="653" t="e">
        <f>'5) Calculos'!M292</f>
        <v>#DIV/0!</v>
      </c>
      <c r="BN69" s="654"/>
      <c r="CA69" s="619" t="s">
        <v>81</v>
      </c>
      <c r="CB69" s="657"/>
      <c r="CC69" s="657"/>
      <c r="CD69" s="658">
        <f>'5) Calculos'!C311</f>
        <v>0</v>
      </c>
      <c r="CE69" s="657"/>
      <c r="CF69" s="658">
        <f>'5) Calculos'!D311</f>
        <v>0</v>
      </c>
      <c r="CG69" s="657"/>
      <c r="CH69" s="658">
        <f>'5) Calculos'!E311</f>
        <v>0</v>
      </c>
      <c r="CI69" s="658"/>
      <c r="CJ69" s="658">
        <f>'5) Calculos'!F311</f>
        <v>0</v>
      </c>
      <c r="CK69" s="658"/>
      <c r="CL69" s="658">
        <f>'5) Calculos'!G311</f>
        <v>0</v>
      </c>
      <c r="CM69" s="658"/>
      <c r="CN69" s="658">
        <f>'5) Calculos'!H311</f>
        <v>0</v>
      </c>
      <c r="CO69" s="658"/>
      <c r="CP69" s="658">
        <f>'5) Calculos'!I311</f>
        <v>0</v>
      </c>
      <c r="CQ69" s="658"/>
      <c r="CR69" s="658">
        <f>'5) Calculos'!M311</f>
        <v>0</v>
      </c>
      <c r="CS69" s="659"/>
    </row>
    <row r="70" spans="2:97" ht="18.5" hidden="1" x14ac:dyDescent="0.45">
      <c r="AV70" s="498" t="str">
        <f>Language!A748</f>
        <v>Amortización de camiones de transferencia [$$$/año]</v>
      </c>
      <c r="AW70" s="646"/>
      <c r="AX70" s="647"/>
      <c r="AY70" s="648" t="e">
        <f>'5) Calculos'!C293</f>
        <v>#DIV/0!</v>
      </c>
      <c r="AZ70" s="649"/>
      <c r="BA70" s="648" t="e">
        <f>'5) Calculos'!D293</f>
        <v>#DIV/0!</v>
      </c>
      <c r="BB70" s="649"/>
      <c r="BC70" s="650" t="e">
        <f>'5) Calculos'!E293</f>
        <v>#DIV/0!</v>
      </c>
      <c r="BD70" s="649"/>
      <c r="BE70" s="648" t="e">
        <f>'5) Calculos'!F293</f>
        <v>#DIV/0!</v>
      </c>
      <c r="BF70" s="648"/>
      <c r="BG70" s="650" t="e">
        <f>'5) Calculos'!G293</f>
        <v>#DIV/0!</v>
      </c>
      <c r="BH70" s="649"/>
      <c r="BI70" s="648" t="e">
        <f>'5) Calculos'!H293</f>
        <v>#DIV/0!</v>
      </c>
      <c r="BJ70" s="649"/>
      <c r="BK70" s="651" t="e">
        <f>'5) Calculos'!I293</f>
        <v>#DIV/0!</v>
      </c>
      <c r="BL70" s="652"/>
      <c r="BM70" s="653" t="e">
        <f>'5) Calculos'!M293</f>
        <v>#DIV/0!</v>
      </c>
      <c r="BN70" s="654"/>
      <c r="CA70" s="619" t="s">
        <v>601</v>
      </c>
      <c r="CB70" s="657"/>
      <c r="CC70" s="657"/>
      <c r="CD70" s="191">
        <f>'5) Calculos'!C312</f>
        <v>0</v>
      </c>
      <c r="CE70" s="657"/>
      <c r="CF70" s="191">
        <f>'5) Calculos'!D312</f>
        <v>0</v>
      </c>
      <c r="CG70" s="657"/>
      <c r="CH70" s="191">
        <f>'5) Calculos'!E312</f>
        <v>0</v>
      </c>
      <c r="CI70" s="658"/>
      <c r="CJ70" s="191">
        <f>'5) Calculos'!F312</f>
        <v>0</v>
      </c>
      <c r="CK70" s="191"/>
      <c r="CL70" s="191">
        <f>'5) Calculos'!G312</f>
        <v>0</v>
      </c>
      <c r="CM70" s="191"/>
      <c r="CN70" s="191">
        <f>'5) Calculos'!H312</f>
        <v>0</v>
      </c>
      <c r="CO70" s="191"/>
      <c r="CP70" s="191">
        <f>'5) Calculos'!I312</f>
        <v>0</v>
      </c>
      <c r="CQ70" s="191"/>
      <c r="CR70" s="191">
        <f>'5) Calculos'!M312</f>
        <v>0</v>
      </c>
      <c r="CS70" s="192"/>
    </row>
    <row r="71" spans="2:97" ht="18.5" hidden="1" x14ac:dyDescent="0.45">
      <c r="AV71" s="498" t="str">
        <f>Language!A749</f>
        <v>Amortización de estación de transferencia [$$$/año]</v>
      </c>
      <c r="AW71" s="646"/>
      <c r="AX71" s="647"/>
      <c r="AY71" s="648">
        <f>'5) Calculos'!C294</f>
        <v>0</v>
      </c>
      <c r="AZ71" s="649"/>
      <c r="BA71" s="648">
        <f>'5) Calculos'!D294</f>
        <v>8024.2587190691311</v>
      </c>
      <c r="BB71" s="649"/>
      <c r="BC71" s="650">
        <f>'5) Calculos'!E294</f>
        <v>0</v>
      </c>
      <c r="BD71" s="649"/>
      <c r="BE71" s="648">
        <f>'5) Calculos'!F294</f>
        <v>8024.2587190691311</v>
      </c>
      <c r="BF71" s="648"/>
      <c r="BG71" s="650">
        <f>'5) Calculos'!G294</f>
        <v>0</v>
      </c>
      <c r="BH71" s="649"/>
      <c r="BI71" s="648">
        <f>'5) Calculos'!H294</f>
        <v>8024.2587190691311</v>
      </c>
      <c r="BJ71" s="649"/>
      <c r="BK71" s="651">
        <f>'5) Calculos'!I294</f>
        <v>0</v>
      </c>
      <c r="BL71" s="652"/>
      <c r="BM71" s="653">
        <f>'5) Calculos'!M294</f>
        <v>8024.2587190691311</v>
      </c>
      <c r="BN71" s="654"/>
      <c r="CA71" s="619" t="s">
        <v>602</v>
      </c>
      <c r="CB71" s="657"/>
      <c r="CC71" s="657"/>
      <c r="CD71" s="191">
        <f>'5) Calculos'!C313</f>
        <v>0</v>
      </c>
      <c r="CE71" s="657"/>
      <c r="CF71" s="191">
        <f>'5) Calculos'!D313</f>
        <v>0</v>
      </c>
      <c r="CG71" s="657"/>
      <c r="CH71" s="191">
        <f>'5) Calculos'!E313</f>
        <v>0</v>
      </c>
      <c r="CI71" s="658"/>
      <c r="CJ71" s="191">
        <f>'5) Calculos'!F313</f>
        <v>0</v>
      </c>
      <c r="CK71" s="191"/>
      <c r="CL71" s="191">
        <f>'5) Calculos'!G313</f>
        <v>0</v>
      </c>
      <c r="CM71" s="191"/>
      <c r="CN71" s="191">
        <f>'5) Calculos'!H313</f>
        <v>0</v>
      </c>
      <c r="CO71" s="191"/>
      <c r="CP71" s="191">
        <f>'5) Calculos'!I313</f>
        <v>0</v>
      </c>
      <c r="CQ71" s="191"/>
      <c r="CR71" s="191">
        <f>'5) Calculos'!M313</f>
        <v>0</v>
      </c>
      <c r="CS71" s="192"/>
    </row>
    <row r="72" spans="2:97" hidden="1" x14ac:dyDescent="0.35">
      <c r="AV72" s="498" t="str">
        <f>Language!A750</f>
        <v>Costo de seguros de vehículos [B$$$/año]</v>
      </c>
      <c r="AW72" s="646"/>
      <c r="AX72" s="647"/>
      <c r="AY72" s="648" t="e">
        <f>'5) Calculos'!C295</f>
        <v>#DIV/0!</v>
      </c>
      <c r="AZ72" s="649"/>
      <c r="BA72" s="648" t="e">
        <f>'5) Calculos'!D295</f>
        <v>#DIV/0!</v>
      </c>
      <c r="BB72" s="649"/>
      <c r="BC72" s="650" t="e">
        <f>'5) Calculos'!E295</f>
        <v>#DIV/0!</v>
      </c>
      <c r="BD72" s="649"/>
      <c r="BE72" s="648" t="e">
        <f>'5) Calculos'!F295</f>
        <v>#DIV/0!</v>
      </c>
      <c r="BF72" s="648"/>
      <c r="BG72" s="650" t="e">
        <f>'5) Calculos'!G295</f>
        <v>#DIV/0!</v>
      </c>
      <c r="BH72" s="649"/>
      <c r="BI72" s="648" t="e">
        <f>'5) Calculos'!H295</f>
        <v>#DIV/0!</v>
      </c>
      <c r="BJ72" s="649"/>
      <c r="BK72" s="651" t="e">
        <f>'5) Calculos'!I295</f>
        <v>#DIV/0!</v>
      </c>
      <c r="BL72" s="652"/>
      <c r="BM72" s="653" t="e">
        <f>'5) Calculos'!M295</f>
        <v>#DIV/0!</v>
      </c>
      <c r="BN72" s="654"/>
      <c r="CA72" s="660" t="s">
        <v>85</v>
      </c>
      <c r="CB72" s="661"/>
      <c r="CC72" s="661"/>
      <c r="CD72" s="658" t="e">
        <f>'5) Calculos'!C314</f>
        <v>#DIV/0!</v>
      </c>
      <c r="CE72" s="661"/>
      <c r="CF72" s="658" t="e">
        <f>'5) Calculos'!D314</f>
        <v>#DIV/0!</v>
      </c>
      <c r="CG72" s="661"/>
      <c r="CH72" s="658" t="e">
        <f>'5) Calculos'!E314</f>
        <v>#DIV/0!</v>
      </c>
      <c r="CI72" s="658"/>
      <c r="CJ72" s="658" t="e">
        <f>'5) Calculos'!F314</f>
        <v>#DIV/0!</v>
      </c>
      <c r="CK72" s="658"/>
      <c r="CL72" s="658" t="e">
        <f>'5) Calculos'!G314</f>
        <v>#DIV/0!</v>
      </c>
      <c r="CM72" s="658"/>
      <c r="CN72" s="658" t="e">
        <f>'5) Calculos'!H314</f>
        <v>#DIV/0!</v>
      </c>
      <c r="CO72" s="658"/>
      <c r="CP72" s="658" t="e">
        <f>'5) Calculos'!I314</f>
        <v>#DIV/0!</v>
      </c>
      <c r="CQ72" s="658"/>
      <c r="CR72" s="658" t="e">
        <f>'5) Calculos'!M314</f>
        <v>#DIV/0!</v>
      </c>
      <c r="CS72" s="659"/>
    </row>
    <row r="73" spans="2:97" hidden="1" x14ac:dyDescent="0.35">
      <c r="AV73" s="498" t="str">
        <f>Language!A751</f>
        <v>Costo de mantenimiento de vehículos [$$$/año]</v>
      </c>
      <c r="AW73" s="646"/>
      <c r="AX73" s="647"/>
      <c r="AY73" s="648" t="e">
        <f>'5) Calculos'!C296</f>
        <v>#DIV/0!</v>
      </c>
      <c r="AZ73" s="649"/>
      <c r="BA73" s="648" t="e">
        <f>'5) Calculos'!D296</f>
        <v>#DIV/0!</v>
      </c>
      <c r="BB73" s="649"/>
      <c r="BC73" s="650" t="e">
        <f>'5) Calculos'!E296</f>
        <v>#DIV/0!</v>
      </c>
      <c r="BD73" s="649"/>
      <c r="BE73" s="648" t="e">
        <f>'5) Calculos'!F296</f>
        <v>#DIV/0!</v>
      </c>
      <c r="BF73" s="648"/>
      <c r="BG73" s="650" t="e">
        <f>'5) Calculos'!G296</f>
        <v>#DIV/0!</v>
      </c>
      <c r="BH73" s="649"/>
      <c r="BI73" s="648" t="e">
        <f>'5) Calculos'!H296</f>
        <v>#DIV/0!</v>
      </c>
      <c r="BJ73" s="649"/>
      <c r="BK73" s="651" t="e">
        <f>'5) Calculos'!I296</f>
        <v>#DIV/0!</v>
      </c>
      <c r="BL73" s="652"/>
      <c r="BM73" s="653" t="e">
        <f>'5) Calculos'!M296</f>
        <v>#DIV/0!</v>
      </c>
      <c r="BN73" s="654"/>
      <c r="CA73" s="660"/>
      <c r="CB73" s="661"/>
      <c r="CC73" s="661"/>
      <c r="CD73" s="658"/>
      <c r="CE73" s="661"/>
      <c r="CF73" s="658"/>
      <c r="CG73" s="661"/>
      <c r="CH73" s="658"/>
      <c r="CI73" s="658"/>
      <c r="CJ73" s="658"/>
      <c r="CK73" s="658"/>
      <c r="CL73" s="658"/>
      <c r="CM73" s="658"/>
      <c r="CN73" s="658"/>
      <c r="CO73" s="658"/>
      <c r="CP73" s="658"/>
      <c r="CQ73" s="658"/>
      <c r="CR73" s="658"/>
      <c r="CS73" s="659"/>
    </row>
    <row r="74" spans="2:97" hidden="1" x14ac:dyDescent="0.35">
      <c r="AV74" s="498" t="str">
        <f>Language!A752</f>
        <v>Costo de gasolina para vehículos [$$$/año]</v>
      </c>
      <c r="AW74" s="646"/>
      <c r="AX74" s="647"/>
      <c r="AY74" s="648" t="e">
        <f>'5) Calculos'!C297</f>
        <v>#DIV/0!</v>
      </c>
      <c r="AZ74" s="649"/>
      <c r="BA74" s="648" t="e">
        <f>'5) Calculos'!D297</f>
        <v>#DIV/0!</v>
      </c>
      <c r="BB74" s="649"/>
      <c r="BC74" s="650" t="e">
        <f>'5) Calculos'!E297</f>
        <v>#DIV/0!</v>
      </c>
      <c r="BD74" s="649"/>
      <c r="BE74" s="648" t="e">
        <f>'5) Calculos'!F297</f>
        <v>#DIV/0!</v>
      </c>
      <c r="BF74" s="648"/>
      <c r="BG74" s="650" t="e">
        <f>'5) Calculos'!G297</f>
        <v>#DIV/0!</v>
      </c>
      <c r="BH74" s="649"/>
      <c r="BI74" s="648" t="e">
        <f>'5) Calculos'!H297</f>
        <v>#DIV/0!</v>
      </c>
      <c r="BJ74" s="649"/>
      <c r="BK74" s="651" t="e">
        <f>'5) Calculos'!I297</f>
        <v>#DIV/0!</v>
      </c>
      <c r="BL74" s="652"/>
      <c r="BM74" s="653" t="e">
        <f>'5) Calculos'!M297</f>
        <v>#DIV/0!</v>
      </c>
      <c r="BN74" s="654"/>
      <c r="CA74" s="662" t="s">
        <v>570</v>
      </c>
      <c r="CB74" s="663"/>
      <c r="CC74" s="663"/>
      <c r="CD74" s="663"/>
      <c r="CE74" s="663"/>
      <c r="CF74" s="663"/>
      <c r="CG74" s="663"/>
      <c r="CH74" s="657"/>
      <c r="CI74" s="657"/>
      <c r="CJ74" s="657"/>
      <c r="CK74" s="657"/>
      <c r="CL74" s="657"/>
      <c r="CM74" s="657"/>
      <c r="CN74" s="657"/>
      <c r="CO74" s="657"/>
      <c r="CP74" s="657"/>
      <c r="CQ74" s="657"/>
      <c r="CR74" s="657"/>
      <c r="CS74" s="664"/>
    </row>
    <row r="75" spans="2:97" hidden="1" x14ac:dyDescent="0.35">
      <c r="AV75" s="498" t="str">
        <f>Language!A753</f>
        <v>Amortización de contenedores [$$$/año]</v>
      </c>
      <c r="AW75" s="646"/>
      <c r="AX75" s="647"/>
      <c r="AY75" s="648">
        <f>'5) Calculos'!C298</f>
        <v>0</v>
      </c>
      <c r="AZ75" s="649"/>
      <c r="BA75" s="648">
        <f>'5) Calculos'!D298</f>
        <v>0</v>
      </c>
      <c r="BB75" s="649"/>
      <c r="BC75" s="650">
        <f>'5) Calculos'!E298</f>
        <v>0</v>
      </c>
      <c r="BD75" s="649"/>
      <c r="BE75" s="648">
        <f>'5) Calculos'!F298</f>
        <v>0</v>
      </c>
      <c r="BF75" s="648"/>
      <c r="BG75" s="650" t="e">
        <f>'5) Calculos'!G298</f>
        <v>#DIV/0!</v>
      </c>
      <c r="BH75" s="649"/>
      <c r="BI75" s="648" t="e">
        <f>'5) Calculos'!H298</f>
        <v>#DIV/0!</v>
      </c>
      <c r="BJ75" s="649"/>
      <c r="BK75" s="651" t="e">
        <f>'5) Calculos'!I298</f>
        <v>#DIV/0!</v>
      </c>
      <c r="BL75" s="652"/>
      <c r="BM75" s="653" t="e">
        <f>'5) Calculos'!M298</f>
        <v>#DIV/0!</v>
      </c>
      <c r="BN75" s="654"/>
      <c r="CA75" s="662"/>
      <c r="CB75" s="663"/>
      <c r="CC75" s="663"/>
      <c r="CD75" s="663"/>
      <c r="CE75" s="663"/>
      <c r="CF75" s="663"/>
      <c r="CG75" s="663"/>
      <c r="CH75" s="657"/>
      <c r="CI75" s="657"/>
      <c r="CJ75" s="657"/>
      <c r="CK75" s="657"/>
      <c r="CL75" s="657"/>
      <c r="CM75" s="657"/>
      <c r="CN75" s="657"/>
      <c r="CO75" s="657"/>
      <c r="CP75" s="193" t="e">
        <f>'3) Parametros_modelo'!$C$86*(1-'5) Calculos'!J128)+'5) Calculos'!J126*ROUNDUP('5) Calculos'!J130,0)+'5) Calculos'!J127</f>
        <v>#DIV/0!</v>
      </c>
      <c r="CQ75" s="657" t="s">
        <v>582</v>
      </c>
      <c r="CR75" s="193" t="e">
        <f>'3) Parametros_modelo'!$C$86*(1-'5) Calculos'!N128)+'5) Calculos'!N126*ROUNDUP('5) Calculos'!N130,0)+'5) Calculos'!N127</f>
        <v>#DIV/0!</v>
      </c>
      <c r="CS75" s="664" t="s">
        <v>582</v>
      </c>
    </row>
    <row r="76" spans="2:97" hidden="1" x14ac:dyDescent="0.35">
      <c r="AV76" s="498" t="str">
        <f>Language!A754</f>
        <v>Costos de personal de transferencia [$$$/año]</v>
      </c>
      <c r="AW76" s="646"/>
      <c r="AX76" s="647"/>
      <c r="AY76" s="648">
        <f>'5) Calculos'!C299</f>
        <v>0</v>
      </c>
      <c r="AZ76" s="649"/>
      <c r="BA76" s="648">
        <f>'5) Calculos'!D299</f>
        <v>0</v>
      </c>
      <c r="BB76" s="649"/>
      <c r="BC76" s="650">
        <f>'5) Calculos'!E299</f>
        <v>0</v>
      </c>
      <c r="BD76" s="649"/>
      <c r="BE76" s="648">
        <f>'5) Calculos'!F299</f>
        <v>0</v>
      </c>
      <c r="BF76" s="648"/>
      <c r="BG76" s="650">
        <f>'5) Calculos'!G299</f>
        <v>0</v>
      </c>
      <c r="BH76" s="649"/>
      <c r="BI76" s="648">
        <f>'5) Calculos'!H299</f>
        <v>0</v>
      </c>
      <c r="BJ76" s="649"/>
      <c r="BK76" s="651">
        <f>'5) Calculos'!I299</f>
        <v>0</v>
      </c>
      <c r="BL76" s="652"/>
      <c r="BM76" s="653">
        <f>'5) Calculos'!M299</f>
        <v>0</v>
      </c>
      <c r="BN76" s="654"/>
      <c r="CA76" s="662"/>
      <c r="CB76" s="663"/>
      <c r="CC76" s="663"/>
      <c r="CD76" s="663"/>
      <c r="CE76" s="663"/>
      <c r="CF76" s="663"/>
      <c r="CG76" s="663"/>
      <c r="CH76" s="657"/>
      <c r="CI76" s="657"/>
      <c r="CJ76" s="657"/>
      <c r="CK76" s="657"/>
      <c r="CL76" s="657"/>
      <c r="CM76" s="657"/>
      <c r="CN76" s="657"/>
      <c r="CO76" s="657"/>
      <c r="CP76" s="193" t="e">
        <f>'3) Parametros_modelo'!$C$86*(1-'5) Calculos'!K128)+'5) Calculos'!K126*ROUNDUP('5) Calculos'!K130,0)+'5) Calculos'!K127</f>
        <v>#VALUE!</v>
      </c>
      <c r="CQ76" s="191" t="s">
        <v>580</v>
      </c>
      <c r="CR76" s="193" t="e">
        <f>'3) Parametros_modelo'!$C$86*(1-'5) Calculos'!O128)+'5) Calculos'!O126*ROUNDUP('5) Calculos'!O130,0)+'5) Calculos'!O127</f>
        <v>#VALUE!</v>
      </c>
      <c r="CS76" s="194" t="s">
        <v>580</v>
      </c>
    </row>
    <row r="77" spans="2:97" ht="18.5" hidden="1" x14ac:dyDescent="0.45">
      <c r="AV77" s="498" t="str">
        <f>Language!A755</f>
        <v>Costos de personal de recolección [$$$/año]</v>
      </c>
      <c r="AW77" s="646"/>
      <c r="AX77" s="647"/>
      <c r="AY77" s="648" t="e">
        <f>'5) Calculos'!C300</f>
        <v>#DIV/0!</v>
      </c>
      <c r="AZ77" s="649"/>
      <c r="BA77" s="648" t="e">
        <f>'5) Calculos'!D300</f>
        <v>#DIV/0!</v>
      </c>
      <c r="BB77" s="649"/>
      <c r="BC77" s="650" t="e">
        <f>'5) Calculos'!E300</f>
        <v>#DIV/0!</v>
      </c>
      <c r="BD77" s="649"/>
      <c r="BE77" s="648" t="e">
        <f>'5) Calculos'!F300</f>
        <v>#DIV/0!</v>
      </c>
      <c r="BF77" s="648"/>
      <c r="BG77" s="650" t="e">
        <f>'5) Calculos'!G300</f>
        <v>#DIV/0!</v>
      </c>
      <c r="BH77" s="649"/>
      <c r="BI77" s="648" t="e">
        <f>'5) Calculos'!H300</f>
        <v>#DIV/0!</v>
      </c>
      <c r="BJ77" s="649"/>
      <c r="BK77" s="651" t="e">
        <f>'5) Calculos'!I300</f>
        <v>#DIV/0!</v>
      </c>
      <c r="BL77" s="652"/>
      <c r="BM77" s="653" t="e">
        <f>'5) Calculos'!M300</f>
        <v>#DIV/0!</v>
      </c>
      <c r="BN77" s="654"/>
      <c r="CA77" s="619" t="s">
        <v>571</v>
      </c>
      <c r="CB77" s="656"/>
      <c r="CC77" s="656"/>
      <c r="CD77" s="193" t="e">
        <f>'3) Parametros_modelo'!$C$86*(1-'5) Calculos'!C128)+'5) Calculos'!C126*ROUNDUP('5) Calculos'!C130,0)+'5) Calculos'!C127</f>
        <v>#DIV/0!</v>
      </c>
      <c r="CE77" s="657"/>
      <c r="CF77" s="193" t="e">
        <f>'3) Parametros_modelo'!$C$86*(1-'5) Calculos'!D128)+'5) Calculos'!D126*ROUNDUP('5) Calculos'!D130,0)+'5) Calculos'!D127</f>
        <v>#DIV/0!</v>
      </c>
      <c r="CG77" s="657"/>
      <c r="CH77" s="193" t="e">
        <f>'3) Parametros_modelo'!$C$86*(1-'5) Calculos'!E128)+'5) Calculos'!E126*ROUNDUP('5) Calculos'!E130,0)+'5) Calculos'!E127</f>
        <v>#DIV/0!</v>
      </c>
      <c r="CI77" s="191"/>
      <c r="CJ77" s="193" t="e">
        <f>'3) Parametros_modelo'!$C$86*(1-'5) Calculos'!F128)+'5) Calculos'!F126*ROUNDUP('5) Calculos'!F130,0)+'5) Calculos'!F127</f>
        <v>#DIV/0!</v>
      </c>
      <c r="CK77" s="191"/>
      <c r="CL77" s="193" t="e">
        <f>'3) Parametros_modelo'!$C$86*(1-'5) Calculos'!G128)+'5) Calculos'!G126*ROUNDUP('5) Calculos'!G130,0)+'5) Calculos'!G127</f>
        <v>#DIV/0!</v>
      </c>
      <c r="CM77" s="191"/>
      <c r="CN77" s="193" t="e">
        <f>'3) Parametros_modelo'!$C$86*(1-'5) Calculos'!H128)+'5) Calculos'!H126*ROUNDUP('5) Calculos'!H130,0)+'5) Calculos'!H127</f>
        <v>#DIV/0!</v>
      </c>
      <c r="CO77" s="191"/>
      <c r="CP77" s="193" t="e">
        <f>'3) Parametros_modelo'!$C$86*(1-'5) Calculos'!L128)+'5) Calculos'!L126*ROUNDUP('5) Calculos'!L130,0)+'5) Calculos'!L127</f>
        <v>#DIV/0!</v>
      </c>
      <c r="CQ77" s="657" t="s">
        <v>581</v>
      </c>
      <c r="CR77" s="193" t="e">
        <f>'3) Parametros_modelo'!$C$86*(1-'5) Calculos'!P128)+'5) Calculos'!P126*ROUNDUP('5) Calculos'!P130,0)+'5) Calculos'!P127</f>
        <v>#DIV/0!</v>
      </c>
      <c r="CS77" s="664" t="s">
        <v>581</v>
      </c>
    </row>
    <row r="78" spans="2:97" ht="18.5" hidden="1" x14ac:dyDescent="0.45">
      <c r="AV78" s="498" t="str">
        <f>Language!A756</f>
        <v>Costos de disposición final [$$$/año]</v>
      </c>
      <c r="AW78" s="646"/>
      <c r="AX78" s="647"/>
      <c r="AY78" s="648">
        <f>'5) Calculos'!C301</f>
        <v>0</v>
      </c>
      <c r="AZ78" s="649"/>
      <c r="BA78" s="648">
        <f>'5) Calculos'!D301</f>
        <v>0</v>
      </c>
      <c r="BB78" s="649"/>
      <c r="BC78" s="650">
        <f>'5) Calculos'!E301</f>
        <v>0</v>
      </c>
      <c r="BD78" s="649"/>
      <c r="BE78" s="648">
        <f>'5) Calculos'!F301</f>
        <v>0</v>
      </c>
      <c r="BF78" s="648"/>
      <c r="BG78" s="650">
        <f>'5) Calculos'!G301</f>
        <v>0</v>
      </c>
      <c r="BH78" s="649"/>
      <c r="BI78" s="648">
        <f>'5) Calculos'!H301</f>
        <v>0</v>
      </c>
      <c r="BJ78" s="649"/>
      <c r="BK78" s="651">
        <f>'5) Calculos'!I301</f>
        <v>0</v>
      </c>
      <c r="BL78" s="652"/>
      <c r="BM78" s="653">
        <f>'5) Calculos'!M301</f>
        <v>0</v>
      </c>
      <c r="BN78" s="654"/>
      <c r="CA78" s="619"/>
      <c r="CB78" s="656"/>
      <c r="CC78" s="656"/>
      <c r="CD78" s="193"/>
      <c r="CE78" s="657"/>
      <c r="CF78" s="193"/>
      <c r="CG78" s="657"/>
      <c r="CH78" s="193"/>
      <c r="CI78" s="191"/>
      <c r="CJ78" s="193"/>
      <c r="CK78" s="191"/>
      <c r="CL78" s="193"/>
      <c r="CM78" s="191"/>
      <c r="CN78" s="193"/>
      <c r="CO78" s="191"/>
      <c r="CP78" s="193" t="e">
        <f>'5) Calculos'!J130</f>
        <v>#DIV/0!</v>
      </c>
      <c r="CQ78" s="657" t="s">
        <v>582</v>
      </c>
      <c r="CR78" s="195" t="e">
        <f>'5) Calculos'!N130</f>
        <v>#DIV/0!</v>
      </c>
      <c r="CS78" s="664" t="s">
        <v>582</v>
      </c>
    </row>
    <row r="79" spans="2:97" ht="18.5" hidden="1" x14ac:dyDescent="0.45">
      <c r="T79" s="665"/>
      <c r="AV79" s="498" t="str">
        <f>Language!A757</f>
        <v>Costos de compostaje [$$$/año]</v>
      </c>
      <c r="AW79" s="646"/>
      <c r="AX79" s="647"/>
      <c r="AY79" s="648">
        <f>'5) Calculos'!C302</f>
        <v>0</v>
      </c>
      <c r="AZ79" s="649"/>
      <c r="BA79" s="648">
        <f>'5) Calculos'!D302</f>
        <v>0</v>
      </c>
      <c r="BB79" s="649"/>
      <c r="BC79" s="650">
        <f>'5) Calculos'!E302</f>
        <v>0</v>
      </c>
      <c r="BD79" s="649"/>
      <c r="BE79" s="648">
        <f>'5) Calculos'!F302</f>
        <v>0</v>
      </c>
      <c r="BF79" s="648"/>
      <c r="BG79" s="650">
        <f>'5) Calculos'!G302</f>
        <v>0</v>
      </c>
      <c r="BH79" s="649"/>
      <c r="BI79" s="648">
        <f>'5) Calculos'!H302</f>
        <v>0</v>
      </c>
      <c r="BJ79" s="649"/>
      <c r="BK79" s="651">
        <f>'5) Calculos'!I302</f>
        <v>0</v>
      </c>
      <c r="BL79" s="652"/>
      <c r="BM79" s="653">
        <f>'5) Calculos'!M302</f>
        <v>0</v>
      </c>
      <c r="BN79" s="654"/>
      <c r="CA79" s="619"/>
      <c r="CB79" s="656"/>
      <c r="CC79" s="656"/>
      <c r="CD79" s="193"/>
      <c r="CE79" s="657"/>
      <c r="CF79" s="193"/>
      <c r="CG79" s="657"/>
      <c r="CH79" s="193"/>
      <c r="CI79" s="191"/>
      <c r="CJ79" s="193"/>
      <c r="CK79" s="191"/>
      <c r="CL79" s="193"/>
      <c r="CM79" s="191"/>
      <c r="CN79" s="193"/>
      <c r="CO79" s="191"/>
      <c r="CP79" s="193" t="e">
        <f>'5) Calculos'!K130</f>
        <v>#VALUE!</v>
      </c>
      <c r="CQ79" s="191" t="s">
        <v>580</v>
      </c>
      <c r="CR79" s="193" t="e">
        <f>'5) Calculos'!O130</f>
        <v>#VALUE!</v>
      </c>
      <c r="CS79" s="194" t="s">
        <v>580</v>
      </c>
    </row>
    <row r="80" spans="2:97" ht="18.5" hidden="1" x14ac:dyDescent="0.45">
      <c r="T80" s="665"/>
      <c r="AV80" s="498" t="str">
        <f>Language!A758</f>
        <v>Costos de gestión de reciclables [$$$/año]</v>
      </c>
      <c r="AW80" s="646"/>
      <c r="AX80" s="647"/>
      <c r="AY80" s="648">
        <f>'5) Calculos'!C303</f>
        <v>0</v>
      </c>
      <c r="AZ80" s="649"/>
      <c r="BA80" s="648">
        <f>'5) Calculos'!D303</f>
        <v>0</v>
      </c>
      <c r="BB80" s="649"/>
      <c r="BC80" s="650">
        <f>'5) Calculos'!E303</f>
        <v>0</v>
      </c>
      <c r="BD80" s="649"/>
      <c r="BE80" s="648">
        <f>'5) Calculos'!F303</f>
        <v>0</v>
      </c>
      <c r="BF80" s="648"/>
      <c r="BG80" s="650">
        <f>'5) Calculos'!G303</f>
        <v>0</v>
      </c>
      <c r="BH80" s="649"/>
      <c r="BI80" s="648">
        <f>'5) Calculos'!H303</f>
        <v>0</v>
      </c>
      <c r="BJ80" s="649"/>
      <c r="BK80" s="651">
        <f>'5) Calculos'!I303</f>
        <v>0</v>
      </c>
      <c r="BL80" s="652"/>
      <c r="BM80" s="653">
        <f>'5) Calculos'!M303</f>
        <v>0</v>
      </c>
      <c r="BN80" s="654"/>
      <c r="CA80" s="619" t="s">
        <v>579</v>
      </c>
      <c r="CB80" s="656"/>
      <c r="CC80" s="656"/>
      <c r="CD80" s="193" t="e">
        <f>'5) Calculos'!C130</f>
        <v>#DIV/0!</v>
      </c>
      <c r="CE80" s="657"/>
      <c r="CF80" s="193" t="e">
        <f>'5) Calculos'!D130</f>
        <v>#DIV/0!</v>
      </c>
      <c r="CG80" s="657"/>
      <c r="CH80" s="193" t="e">
        <f>'5) Calculos'!E130</f>
        <v>#DIV/0!</v>
      </c>
      <c r="CI80" s="191"/>
      <c r="CJ80" s="193" t="e">
        <f>'5) Calculos'!F130</f>
        <v>#DIV/0!</v>
      </c>
      <c r="CK80" s="191"/>
      <c r="CL80" s="193" t="e">
        <f>'5) Calculos'!G130</f>
        <v>#DIV/0!</v>
      </c>
      <c r="CM80" s="191"/>
      <c r="CN80" s="193" t="e">
        <f>'5) Calculos'!H130</f>
        <v>#DIV/0!</v>
      </c>
      <c r="CO80" s="191"/>
      <c r="CP80" s="193" t="e">
        <f>'5) Calculos'!L130</f>
        <v>#DIV/0!</v>
      </c>
      <c r="CQ80" s="657" t="s">
        <v>581</v>
      </c>
      <c r="CR80" s="193" t="e">
        <f>'5) Calculos'!P130</f>
        <v>#DIV/0!</v>
      </c>
      <c r="CS80" s="664" t="s">
        <v>581</v>
      </c>
    </row>
    <row r="81" spans="48:97" ht="18.5" hidden="1" x14ac:dyDescent="0.45">
      <c r="AV81" s="498" t="str">
        <f>Language!A759</f>
        <v>Costos blandos (formación, educación y comunicación) [$$$/año]</v>
      </c>
      <c r="AW81" s="646"/>
      <c r="AX81" s="647"/>
      <c r="AY81" s="648" t="e">
        <f>'5) Calculos'!C304</f>
        <v>#DIV/0!</v>
      </c>
      <c r="AZ81" s="649"/>
      <c r="BA81" s="648" t="e">
        <f>'5) Calculos'!D304</f>
        <v>#DIV/0!</v>
      </c>
      <c r="BB81" s="649"/>
      <c r="BC81" s="650" t="e">
        <f>'5) Calculos'!E304</f>
        <v>#DIV/0!</v>
      </c>
      <c r="BD81" s="649"/>
      <c r="BE81" s="648" t="e">
        <f>'5) Calculos'!F304</f>
        <v>#DIV/0!</v>
      </c>
      <c r="BF81" s="648"/>
      <c r="BG81" s="650" t="e">
        <f>'5) Calculos'!G304</f>
        <v>#DIV/0!</v>
      </c>
      <c r="BH81" s="649"/>
      <c r="BI81" s="648" t="e">
        <f>'5) Calculos'!H304</f>
        <v>#DIV/0!</v>
      </c>
      <c r="BJ81" s="649"/>
      <c r="BK81" s="651" t="e">
        <f>'5) Calculos'!I304</f>
        <v>#DIV/0!</v>
      </c>
      <c r="BL81" s="652"/>
      <c r="BM81" s="653" t="e">
        <f>'5) Calculos'!M304</f>
        <v>#DIV/0!</v>
      </c>
      <c r="BN81" s="654"/>
      <c r="CA81" s="619" t="s">
        <v>574</v>
      </c>
      <c r="CB81" s="656"/>
      <c r="CC81" s="656"/>
      <c r="CD81" s="191" t="e">
        <f>1000*'5) Calculos'!C10</f>
        <v>#DIV/0!</v>
      </c>
      <c r="CE81" s="666"/>
      <c r="CF81" s="191" t="e">
        <f>1000*'5) Calculos'!D10</f>
        <v>#DIV/0!</v>
      </c>
      <c r="CG81" s="666"/>
      <c r="CH81" s="191" t="e">
        <f>1000*'5) Calculos'!E10</f>
        <v>#DIV/0!</v>
      </c>
      <c r="CI81" s="191"/>
      <c r="CJ81" s="191" t="e">
        <f>1000*'5) Calculos'!F10</f>
        <v>#DIV/0!</v>
      </c>
      <c r="CK81" s="191"/>
      <c r="CL81" s="191" t="e">
        <f>1000*'5) Calculos'!G10</f>
        <v>#DIV/0!</v>
      </c>
      <c r="CM81" s="191"/>
      <c r="CN81" s="191" t="e">
        <f>1000*'5) Calculos'!H10</f>
        <v>#DIV/0!</v>
      </c>
      <c r="CO81" s="191"/>
      <c r="CP81" s="191" t="e">
        <f>1000*'5) Calculos'!I10</f>
        <v>#DIV/0!</v>
      </c>
      <c r="CQ81" s="191"/>
      <c r="CR81" s="191" t="e">
        <f>1000*'5) Calculos'!M10</f>
        <v>#DIV/0!</v>
      </c>
      <c r="CS81" s="192"/>
    </row>
    <row r="82" spans="48:97" ht="15" hidden="1" thickBot="1" x14ac:dyDescent="0.4">
      <c r="AV82" s="498" t="str">
        <f>Language!A760</f>
        <v>Estimación de costos de planificación y fiscalización [$$$/año]</v>
      </c>
      <c r="AW82" s="646"/>
      <c r="AX82" s="647"/>
      <c r="AY82" s="648" t="e">
        <f>'5) Calculos'!C305</f>
        <v>#DIV/0!</v>
      </c>
      <c r="AZ82" s="649"/>
      <c r="BA82" s="648" t="e">
        <f>'5) Calculos'!D305</f>
        <v>#DIV/0!</v>
      </c>
      <c r="BB82" s="649"/>
      <c r="BC82" s="650" t="e">
        <f>'5) Calculos'!E305</f>
        <v>#DIV/0!</v>
      </c>
      <c r="BD82" s="649"/>
      <c r="BE82" s="648" t="e">
        <f>'5) Calculos'!F305</f>
        <v>#DIV/0!</v>
      </c>
      <c r="BF82" s="648"/>
      <c r="BG82" s="650" t="e">
        <f>'5) Calculos'!G305</f>
        <v>#DIV/0!</v>
      </c>
      <c r="BH82" s="649"/>
      <c r="BI82" s="648" t="e">
        <f>'5) Calculos'!H305</f>
        <v>#DIV/0!</v>
      </c>
      <c r="BJ82" s="649"/>
      <c r="BK82" s="651" t="e">
        <f>'5) Calculos'!I305</f>
        <v>#DIV/0!</v>
      </c>
      <c r="BL82" s="667"/>
      <c r="BM82" s="653" t="e">
        <f>'5) Calculos'!M305</f>
        <v>#DIV/0!</v>
      </c>
      <c r="BN82" s="668"/>
      <c r="CA82" s="669"/>
      <c r="CB82" s="670"/>
      <c r="CC82" s="670"/>
      <c r="CD82" s="670"/>
      <c r="CE82" s="670"/>
      <c r="CF82" s="670"/>
      <c r="CG82" s="670"/>
      <c r="CH82" s="670"/>
      <c r="CI82" s="670"/>
      <c r="CJ82" s="670"/>
      <c r="CK82" s="670"/>
      <c r="CL82" s="670"/>
      <c r="CM82" s="670"/>
      <c r="CN82" s="670"/>
      <c r="CO82" s="670"/>
      <c r="CP82" s="670"/>
      <c r="CQ82" s="670"/>
      <c r="CR82" s="670"/>
      <c r="CS82" s="671"/>
    </row>
    <row r="83" spans="48:97" hidden="1" x14ac:dyDescent="0.35">
      <c r="AV83" s="498" t="str">
        <f>Language!A761</f>
        <v>Costos administrativos [$$$/año]</v>
      </c>
      <c r="AW83" s="646"/>
      <c r="AX83" s="647"/>
      <c r="AY83" s="648" t="e">
        <f>'5) Calculos'!C306</f>
        <v>#DIV/0!</v>
      </c>
      <c r="AZ83" s="649"/>
      <c r="BA83" s="648" t="e">
        <f>'5) Calculos'!D306</f>
        <v>#DIV/0!</v>
      </c>
      <c r="BB83" s="649"/>
      <c r="BC83" s="650" t="e">
        <f>'5) Calculos'!E306</f>
        <v>#DIV/0!</v>
      </c>
      <c r="BD83" s="649"/>
      <c r="BE83" s="648" t="e">
        <f>'5) Calculos'!F306</f>
        <v>#DIV/0!</v>
      </c>
      <c r="BF83" s="648"/>
      <c r="BG83" s="650" t="e">
        <f>'5) Calculos'!G306</f>
        <v>#DIV/0!</v>
      </c>
      <c r="BH83" s="649"/>
      <c r="BI83" s="648" t="e">
        <f>'5) Calculos'!H306</f>
        <v>#DIV/0!</v>
      </c>
      <c r="BJ83" s="649"/>
      <c r="BK83" s="651" t="e">
        <f>'5) Calculos'!I306</f>
        <v>#DIV/0!</v>
      </c>
      <c r="BL83" s="652"/>
      <c r="BM83" s="653" t="e">
        <f>'5) Calculos'!M306</f>
        <v>#DIV/0!</v>
      </c>
      <c r="BN83" s="654"/>
    </row>
    <row r="84" spans="48:97" ht="15" hidden="1" thickBot="1" x14ac:dyDescent="0.4">
      <c r="AV84" s="672" t="str">
        <f>Language!A762</f>
        <v>Costo anual total [$$$/año]</v>
      </c>
      <c r="AW84" s="673"/>
      <c r="AX84" s="674"/>
      <c r="AY84" s="675" t="e">
        <f>'5) Calculos'!C307</f>
        <v>#DIV/0!</v>
      </c>
      <c r="AZ84" s="676"/>
      <c r="BA84" s="677" t="e">
        <f>'5) Calculos'!D307</f>
        <v>#DIV/0!</v>
      </c>
      <c r="BB84" s="676"/>
      <c r="BC84" s="675" t="e">
        <f>'5) Calculos'!E307</f>
        <v>#DIV/0!</v>
      </c>
      <c r="BD84" s="676"/>
      <c r="BE84" s="677" t="e">
        <f>'5) Calculos'!F307</f>
        <v>#DIV/0!</v>
      </c>
      <c r="BF84" s="677"/>
      <c r="BG84" s="675" t="e">
        <f>'5) Calculos'!G307</f>
        <v>#DIV/0!</v>
      </c>
      <c r="BH84" s="676"/>
      <c r="BI84" s="675" t="e">
        <f>'5) Calculos'!H307</f>
        <v>#DIV/0!</v>
      </c>
      <c r="BJ84" s="676"/>
      <c r="BK84" s="678" t="e">
        <f>'5) Calculos'!I307</f>
        <v>#DIV/0!</v>
      </c>
      <c r="BL84" s="679"/>
      <c r="BM84" s="680" t="e">
        <f>'5) Calculos'!M307</f>
        <v>#DIV/0!</v>
      </c>
      <c r="BN84" s="681"/>
    </row>
  </sheetData>
  <sheetProtection algorithmName="SHA-512" hashValue="Nk1yrSVd4/qAhPfSjBBWmVdVyTsW2N0Yk91gci7t4Kx//q4ojyw/kkfR2HQSP3wdiICdtUflxIxGFgE25CFBgQ==" saltValue="TbdAEHVfZLEY93O0vhCoiw==" spinCount="100000" sheet="1" formatCells="0" formatColumns="0" formatRows="0" insertColumns="0" insertRows="0" insertHyperlinks="0" deleteColumns="0" deleteRows="0" sort="0" autoFilter="0" pivotTables="0"/>
  <dataConsolidate/>
  <mergeCells count="263">
    <mergeCell ref="B46:K46"/>
    <mergeCell ref="V7:V33"/>
    <mergeCell ref="AV25:BN26"/>
    <mergeCell ref="AV44:BN46"/>
    <mergeCell ref="S60:AA62"/>
    <mergeCell ref="BU24:CS26"/>
    <mergeCell ref="CX26:DL29"/>
    <mergeCell ref="BW60:CS61"/>
    <mergeCell ref="AC59:AQ62"/>
    <mergeCell ref="BM37:BN37"/>
    <mergeCell ref="BC36:BD36"/>
    <mergeCell ref="BE36:BF36"/>
    <mergeCell ref="BG36:BH36"/>
    <mergeCell ref="BI36:BJ36"/>
    <mergeCell ref="BK34:BL34"/>
    <mergeCell ref="BM34:BN34"/>
    <mergeCell ref="BA35:BB35"/>
    <mergeCell ref="BC35:BD35"/>
    <mergeCell ref="BE35:BF35"/>
    <mergeCell ref="BG35:BH35"/>
    <mergeCell ref="BI35:BJ35"/>
    <mergeCell ref="BK35:BL35"/>
    <mergeCell ref="BM35:BN35"/>
    <mergeCell ref="BA34:BB34"/>
    <mergeCell ref="AV6:BN6"/>
    <mergeCell ref="BI38:BJ38"/>
    <mergeCell ref="BK38:BL38"/>
    <mergeCell ref="BM38:BN38"/>
    <mergeCell ref="AW30:AX30"/>
    <mergeCell ref="AW31:AX31"/>
    <mergeCell ref="AW38:AX38"/>
    <mergeCell ref="BA38:BB38"/>
    <mergeCell ref="BC38:BD38"/>
    <mergeCell ref="BE38:BF38"/>
    <mergeCell ref="BG38:BH38"/>
    <mergeCell ref="AW33:AX33"/>
    <mergeCell ref="AW34:AX34"/>
    <mergeCell ref="AW35:AX35"/>
    <mergeCell ref="AW36:AX36"/>
    <mergeCell ref="AW37:AX37"/>
    <mergeCell ref="BK36:BL36"/>
    <mergeCell ref="BM36:BN36"/>
    <mergeCell ref="BA37:BB37"/>
    <mergeCell ref="BC37:BD37"/>
    <mergeCell ref="BE37:BF37"/>
    <mergeCell ref="BG37:BH37"/>
    <mergeCell ref="BI37:BJ37"/>
    <mergeCell ref="BK37:BL37"/>
    <mergeCell ref="BG34:BH34"/>
    <mergeCell ref="BI34:BJ34"/>
    <mergeCell ref="BM32:BN32"/>
    <mergeCell ref="BA33:BB33"/>
    <mergeCell ref="BC33:BD33"/>
    <mergeCell ref="BE33:BF33"/>
    <mergeCell ref="BG33:BH33"/>
    <mergeCell ref="BI33:BJ33"/>
    <mergeCell ref="BK33:BL33"/>
    <mergeCell ref="BM33:BN33"/>
    <mergeCell ref="BC32:BD32"/>
    <mergeCell ref="BE32:BF32"/>
    <mergeCell ref="BG32:BH32"/>
    <mergeCell ref="BI32:BJ32"/>
    <mergeCell ref="BK32:BL32"/>
    <mergeCell ref="BM30:BN30"/>
    <mergeCell ref="BA31:BB31"/>
    <mergeCell ref="BC31:BD31"/>
    <mergeCell ref="BE31:BF31"/>
    <mergeCell ref="BG31:BH31"/>
    <mergeCell ref="BI31:BJ31"/>
    <mergeCell ref="BK31:BL31"/>
    <mergeCell ref="BM31:BN31"/>
    <mergeCell ref="BC30:BD30"/>
    <mergeCell ref="BE30:BF30"/>
    <mergeCell ref="BG30:BH30"/>
    <mergeCell ref="BI30:BJ30"/>
    <mergeCell ref="BK30:BL30"/>
    <mergeCell ref="BI18:BJ18"/>
    <mergeCell ref="BG18:BH18"/>
    <mergeCell ref="BM18:BN18"/>
    <mergeCell ref="BK18:BL18"/>
    <mergeCell ref="AY18:AZ18"/>
    <mergeCell ref="BI22:BJ22"/>
    <mergeCell ref="BK22:BL22"/>
    <mergeCell ref="BK28:BN28"/>
    <mergeCell ref="AY29:AZ29"/>
    <mergeCell ref="BA29:BB29"/>
    <mergeCell ref="BC29:BD29"/>
    <mergeCell ref="BE29:BF29"/>
    <mergeCell ref="BG29:BH29"/>
    <mergeCell ref="BI29:BJ29"/>
    <mergeCell ref="BK29:BL29"/>
    <mergeCell ref="BM29:BN29"/>
    <mergeCell ref="AY28:BB28"/>
    <mergeCell ref="BC28:BF28"/>
    <mergeCell ref="BG28:BJ28"/>
    <mergeCell ref="AW20:AX20"/>
    <mergeCell ref="AW21:AX21"/>
    <mergeCell ref="BE20:BF20"/>
    <mergeCell ref="AW19:AX19"/>
    <mergeCell ref="AY19:AZ19"/>
    <mergeCell ref="BA19:BB19"/>
    <mergeCell ref="BC19:BD19"/>
    <mergeCell ref="BE19:BF19"/>
    <mergeCell ref="BM20:BN20"/>
    <mergeCell ref="BM21:BN21"/>
    <mergeCell ref="AY20:AZ20"/>
    <mergeCell ref="BA20:BB20"/>
    <mergeCell ref="AY21:AZ21"/>
    <mergeCell ref="BA21:BB21"/>
    <mergeCell ref="BK20:BL20"/>
    <mergeCell ref="BK21:BL21"/>
    <mergeCell ref="BE21:BF21"/>
    <mergeCell ref="BC20:BD20"/>
    <mergeCell ref="BC21:BD21"/>
    <mergeCell ref="BI20:BJ20"/>
    <mergeCell ref="BI21:BJ21"/>
    <mergeCell ref="BG20:BH20"/>
    <mergeCell ref="BG21:BH21"/>
    <mergeCell ref="BC43:BD43"/>
    <mergeCell ref="BE43:BF43"/>
    <mergeCell ref="BG43:BH43"/>
    <mergeCell ref="BI8:BJ8"/>
    <mergeCell ref="BM8:BN8"/>
    <mergeCell ref="BC7:BF7"/>
    <mergeCell ref="BG7:BJ7"/>
    <mergeCell ref="BK7:BN7"/>
    <mergeCell ref="BC8:BD8"/>
    <mergeCell ref="BG8:BH8"/>
    <mergeCell ref="BE8:BF8"/>
    <mergeCell ref="BK8:BL8"/>
    <mergeCell ref="BG19:BH19"/>
    <mergeCell ref="BI19:BJ19"/>
    <mergeCell ref="BK19:BL19"/>
    <mergeCell ref="BM19:BN19"/>
    <mergeCell ref="BC22:BD22"/>
    <mergeCell ref="BE22:BF22"/>
    <mergeCell ref="BG22:BH22"/>
    <mergeCell ref="BM22:BN22"/>
    <mergeCell ref="BE18:BF18"/>
    <mergeCell ref="AW23:BN24"/>
    <mergeCell ref="AW18:AX18"/>
    <mergeCell ref="BC18:BD18"/>
    <mergeCell ref="AW43:AX43"/>
    <mergeCell ref="AY43:AZ43"/>
    <mergeCell ref="BA43:BB43"/>
    <mergeCell ref="BI43:BJ43"/>
    <mergeCell ref="BK43:BL43"/>
    <mergeCell ref="BM43:BN43"/>
    <mergeCell ref="BC39:BD39"/>
    <mergeCell ref="BI39:BJ39"/>
    <mergeCell ref="BG39:BH39"/>
    <mergeCell ref="BM39:BN39"/>
    <mergeCell ref="BK39:BL39"/>
    <mergeCell ref="BM40:BN40"/>
    <mergeCell ref="BI40:BJ40"/>
    <mergeCell ref="BK40:BL40"/>
    <mergeCell ref="BK41:BL41"/>
    <mergeCell ref="BK42:BL42"/>
    <mergeCell ref="BM41:BN41"/>
    <mergeCell ref="BM42:BN42"/>
    <mergeCell ref="BE39:BF39"/>
    <mergeCell ref="BI41:BJ41"/>
    <mergeCell ref="BI42:BJ42"/>
    <mergeCell ref="BG41:BH41"/>
    <mergeCell ref="BG42:BH42"/>
    <mergeCell ref="BG40:BH40"/>
    <mergeCell ref="AY35:AZ35"/>
    <mergeCell ref="AY34:AZ34"/>
    <mergeCell ref="AW32:AX32"/>
    <mergeCell ref="BA36:BB36"/>
    <mergeCell ref="AW41:AX41"/>
    <mergeCell ref="AW42:AX42"/>
    <mergeCell ref="BE41:BF41"/>
    <mergeCell ref="BE42:BF42"/>
    <mergeCell ref="BC41:BD41"/>
    <mergeCell ref="BC42:BD42"/>
    <mergeCell ref="BC40:BD40"/>
    <mergeCell ref="BE40:BF40"/>
    <mergeCell ref="AW39:AX39"/>
    <mergeCell ref="AY39:AZ39"/>
    <mergeCell ref="BA39:BB39"/>
    <mergeCell ref="AY41:AZ41"/>
    <mergeCell ref="BA41:BB41"/>
    <mergeCell ref="AY42:AZ42"/>
    <mergeCell ref="BA42:BB42"/>
    <mergeCell ref="AW40:AX40"/>
    <mergeCell ref="AY40:AZ40"/>
    <mergeCell ref="BA40:BB40"/>
    <mergeCell ref="BC34:BD34"/>
    <mergeCell ref="BE34:BF34"/>
    <mergeCell ref="AW7:AX8"/>
    <mergeCell ref="AY7:BB7"/>
    <mergeCell ref="AY8:AZ8"/>
    <mergeCell ref="BA8:BB8"/>
    <mergeCell ref="S29:U29"/>
    <mergeCell ref="H38:K38"/>
    <mergeCell ref="S24:T24"/>
    <mergeCell ref="S26:T26"/>
    <mergeCell ref="S27:T27"/>
    <mergeCell ref="BA18:BB18"/>
    <mergeCell ref="AW22:AX22"/>
    <mergeCell ref="AY22:AZ22"/>
    <mergeCell ref="BA22:BB22"/>
    <mergeCell ref="AY38:AZ38"/>
    <mergeCell ref="AW28:AX29"/>
    <mergeCell ref="AY33:AZ33"/>
    <mergeCell ref="AY32:AZ32"/>
    <mergeCell ref="AY31:AZ31"/>
    <mergeCell ref="AY30:AZ30"/>
    <mergeCell ref="BA30:BB30"/>
    <mergeCell ref="BA32:BB32"/>
    <mergeCell ref="S17:T17"/>
    <mergeCell ref="AY37:AZ37"/>
    <mergeCell ref="AY36:AZ36"/>
    <mergeCell ref="S7:U7"/>
    <mergeCell ref="B8:G8"/>
    <mergeCell ref="S8:T8"/>
    <mergeCell ref="S16:T16"/>
    <mergeCell ref="S6:AR6"/>
    <mergeCell ref="B17:G17"/>
    <mergeCell ref="S21:T21"/>
    <mergeCell ref="S23:T23"/>
    <mergeCell ref="S25:T25"/>
    <mergeCell ref="S22:T22"/>
    <mergeCell ref="B23:I24"/>
    <mergeCell ref="B13:G13"/>
    <mergeCell ref="B21:G21"/>
    <mergeCell ref="S20:T20"/>
    <mergeCell ref="S19:T19"/>
    <mergeCell ref="S18:T18"/>
    <mergeCell ref="B19:G19"/>
    <mergeCell ref="B20:G20"/>
    <mergeCell ref="B18:G18"/>
    <mergeCell ref="B2:I4"/>
    <mergeCell ref="C38:F38"/>
    <mergeCell ref="C39:E39"/>
    <mergeCell ref="C40:D40"/>
    <mergeCell ref="B35:F35"/>
    <mergeCell ref="C36:F36"/>
    <mergeCell ref="C37:F37"/>
    <mergeCell ref="C43:D43"/>
    <mergeCell ref="B11:G11"/>
    <mergeCell ref="B15:G15"/>
    <mergeCell ref="B14:G14"/>
    <mergeCell ref="B10:G10"/>
    <mergeCell ref="B12:I12"/>
    <mergeCell ref="B6:P6"/>
    <mergeCell ref="B7:G7"/>
    <mergeCell ref="B16:G16"/>
    <mergeCell ref="B9:G9"/>
    <mergeCell ref="K33:P34"/>
    <mergeCell ref="B34:H34"/>
    <mergeCell ref="M37:O37"/>
    <mergeCell ref="M38:O38"/>
    <mergeCell ref="M44:O45"/>
    <mergeCell ref="AI30:AQ32"/>
    <mergeCell ref="W29:AG32"/>
    <mergeCell ref="H45:K45"/>
    <mergeCell ref="H44:K44"/>
    <mergeCell ref="H39:K39"/>
    <mergeCell ref="C45:F45"/>
    <mergeCell ref="G35:K37"/>
    <mergeCell ref="C44:D44"/>
  </mergeCells>
  <conditionalFormatting sqref="U8:U19">
    <cfRule type="expression" dxfId="24" priority="24">
      <formula>ISERROR(U8)</formula>
    </cfRule>
  </conditionalFormatting>
  <conditionalFormatting sqref="U20:U21">
    <cfRule type="expression" dxfId="23" priority="23">
      <formula>ISERROR(U20)</formula>
    </cfRule>
  </conditionalFormatting>
  <dataValidations disablePrompts="1" count="1">
    <dataValidation allowBlank="1" showErrorMessage="1" prompt="Para modificar la cantidad de habitantes, ingresar población y cobertura en pestaña 2a) Datos_escenarios." sqref="H11"/>
  </dataValidations>
  <printOptions gridLines="1"/>
  <pageMargins left="0.70866141732283472" right="0.70866141732283472" top="0.74803149606299213" bottom="0.74803149606299213" header="0.31496062992125984" footer="0.31496062992125984"/>
  <pageSetup paperSize="9" scale="40" fitToWidth="0"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22" operator="greaterThan" id="{5E2B81A9-7E66-49E2-9C48-0DBA540F0645}">
            <xm:f>'3) Parametros_modelo'!$C$86</xm:f>
            <x14:dxf>
              <fill>
                <patternFill>
                  <bgColor rgb="FFFFC7CE"/>
                </patternFill>
              </fill>
            </x14:dxf>
          </x14:cfRule>
          <xm:sqref>CD77:CD80 CP79</xm:sqref>
        </x14:conditionalFormatting>
        <x14:conditionalFormatting xmlns:xm="http://schemas.microsoft.com/office/excel/2006/main">
          <x14:cfRule type="cellIs" priority="21" operator="greaterThan" id="{3B3212F7-8660-43E2-B9E7-53CC6355177A}">
            <xm:f>'3) Parametros_modelo'!$C$86</xm:f>
            <x14:dxf>
              <fill>
                <patternFill>
                  <bgColor rgb="FFFFC7CE"/>
                </patternFill>
              </fill>
            </x14:dxf>
          </x14:cfRule>
          <xm:sqref>CF77:CF79</xm:sqref>
        </x14:conditionalFormatting>
        <x14:conditionalFormatting xmlns:xm="http://schemas.microsoft.com/office/excel/2006/main">
          <x14:cfRule type="cellIs" priority="20" operator="greaterThan" id="{D5CA7A2A-16E9-42DC-908C-2BBB8916B1B3}">
            <xm:f>'3) Parametros_modelo'!$C$86</xm:f>
            <x14:dxf>
              <fill>
                <patternFill>
                  <bgColor rgb="FFFFC7CE"/>
                </patternFill>
              </fill>
            </x14:dxf>
          </x14:cfRule>
          <xm:sqref>CH77:CH79</xm:sqref>
        </x14:conditionalFormatting>
        <x14:conditionalFormatting xmlns:xm="http://schemas.microsoft.com/office/excel/2006/main">
          <x14:cfRule type="cellIs" priority="19" operator="greaterThan" id="{647F5F2D-4E9D-4D98-B079-8829EFCA1C96}">
            <xm:f>'3) Parametros_modelo'!$C$86</xm:f>
            <x14:dxf>
              <fill>
                <patternFill>
                  <bgColor rgb="FFFFC7CE"/>
                </patternFill>
              </fill>
            </x14:dxf>
          </x14:cfRule>
          <xm:sqref>CJ77:CJ79</xm:sqref>
        </x14:conditionalFormatting>
        <x14:conditionalFormatting xmlns:xm="http://schemas.microsoft.com/office/excel/2006/main">
          <x14:cfRule type="cellIs" priority="18" operator="greaterThan" id="{60182C73-CD1B-497F-88A7-20EEBFF6C094}">
            <xm:f>'3) Parametros_modelo'!$C$86</xm:f>
            <x14:dxf>
              <fill>
                <patternFill>
                  <bgColor rgb="FFFFC7CE"/>
                </patternFill>
              </fill>
            </x14:dxf>
          </x14:cfRule>
          <xm:sqref>CL77:CL79</xm:sqref>
        </x14:conditionalFormatting>
        <x14:conditionalFormatting xmlns:xm="http://schemas.microsoft.com/office/excel/2006/main">
          <x14:cfRule type="cellIs" priority="17" operator="greaterThan" id="{5DA38360-679C-40BF-BC71-FD8F7C4A4289}">
            <xm:f>'3) Parametros_modelo'!$C$86</xm:f>
            <x14:dxf>
              <fill>
                <patternFill>
                  <bgColor rgb="FFFFC7CE"/>
                </patternFill>
              </fill>
            </x14:dxf>
          </x14:cfRule>
          <xm:sqref>CN77:CN79</xm:sqref>
        </x14:conditionalFormatting>
        <x14:conditionalFormatting xmlns:xm="http://schemas.microsoft.com/office/excel/2006/main">
          <x14:cfRule type="cellIs" priority="16" operator="greaterThan" id="{9402850F-22FC-450F-ADC5-B1A3C73EEF7D}">
            <xm:f>'3) Parametros_modelo'!$C$86</xm:f>
            <x14:dxf>
              <fill>
                <patternFill>
                  <bgColor rgb="FFFFC7CE"/>
                </patternFill>
              </fill>
            </x14:dxf>
          </x14:cfRule>
          <xm:sqref>CP77</xm:sqref>
        </x14:conditionalFormatting>
        <x14:conditionalFormatting xmlns:xm="http://schemas.microsoft.com/office/excel/2006/main">
          <x14:cfRule type="cellIs" priority="13" operator="greaterThan" id="{55278DFB-6729-4557-BE28-FB93CD056AEB}">
            <xm:f>'3) Parametros_modelo'!$C$86</xm:f>
            <x14:dxf>
              <fill>
                <patternFill>
                  <bgColor rgb="FFFFC7CE"/>
                </patternFill>
              </fill>
            </x14:dxf>
          </x14:cfRule>
          <xm:sqref>CJ80</xm:sqref>
        </x14:conditionalFormatting>
        <x14:conditionalFormatting xmlns:xm="http://schemas.microsoft.com/office/excel/2006/main">
          <x14:cfRule type="cellIs" priority="15" operator="greaterThan" id="{B5FE6689-8957-4B1F-85CF-C4028E989D3E}">
            <xm:f>'3) Parametros_modelo'!$C$86</xm:f>
            <x14:dxf>
              <fill>
                <patternFill>
                  <bgColor rgb="FFFFC7CE"/>
                </patternFill>
              </fill>
            </x14:dxf>
          </x14:cfRule>
          <xm:sqref>CF80</xm:sqref>
        </x14:conditionalFormatting>
        <x14:conditionalFormatting xmlns:xm="http://schemas.microsoft.com/office/excel/2006/main">
          <x14:cfRule type="cellIs" priority="14" operator="greaterThan" id="{1587C2CE-2233-4E65-86BF-C082499DA6B6}">
            <xm:f>'3) Parametros_modelo'!$C$86</xm:f>
            <x14:dxf>
              <fill>
                <patternFill>
                  <bgColor rgb="FFFFC7CE"/>
                </patternFill>
              </fill>
            </x14:dxf>
          </x14:cfRule>
          <xm:sqref>CH80</xm:sqref>
        </x14:conditionalFormatting>
        <x14:conditionalFormatting xmlns:xm="http://schemas.microsoft.com/office/excel/2006/main">
          <x14:cfRule type="cellIs" priority="12" operator="greaterThan" id="{0B146333-CD0D-4F8B-AB38-7DFE8C835BD8}">
            <xm:f>'3) Parametros_modelo'!$C$86</xm:f>
            <x14:dxf>
              <fill>
                <patternFill>
                  <bgColor rgb="FFFFC7CE"/>
                </patternFill>
              </fill>
            </x14:dxf>
          </x14:cfRule>
          <xm:sqref>CL80</xm:sqref>
        </x14:conditionalFormatting>
        <x14:conditionalFormatting xmlns:xm="http://schemas.microsoft.com/office/excel/2006/main">
          <x14:cfRule type="cellIs" priority="11" operator="greaterThan" id="{335051AD-8805-420B-A0DA-F200646366DA}">
            <xm:f>'3) Parametros_modelo'!$C$86</xm:f>
            <x14:dxf>
              <fill>
                <patternFill>
                  <bgColor rgb="FFFFC7CE"/>
                </patternFill>
              </fill>
            </x14:dxf>
          </x14:cfRule>
          <xm:sqref>CN80</xm:sqref>
        </x14:conditionalFormatting>
        <x14:conditionalFormatting xmlns:xm="http://schemas.microsoft.com/office/excel/2006/main">
          <x14:cfRule type="cellIs" priority="10" operator="greaterThan" id="{E3B2116F-301B-402D-BB99-AF1C0532172E}">
            <xm:f>'3) Parametros_modelo'!$C$86</xm:f>
            <x14:dxf>
              <fill>
                <patternFill>
                  <bgColor rgb="FFFFC7CE"/>
                </patternFill>
              </fill>
            </x14:dxf>
          </x14:cfRule>
          <xm:sqref>CP80</xm:sqref>
        </x14:conditionalFormatting>
        <x14:conditionalFormatting xmlns:xm="http://schemas.microsoft.com/office/excel/2006/main">
          <x14:cfRule type="cellIs" priority="9" operator="greaterThan" id="{098D9D57-BDC5-4F48-B405-120E7353C7DA}">
            <xm:f>'3) Parametros_modelo'!$C$86</xm:f>
            <x14:dxf>
              <fill>
                <patternFill>
                  <bgColor rgb="FFFFC7CE"/>
                </patternFill>
              </fill>
            </x14:dxf>
          </x14:cfRule>
          <xm:sqref>CP78</xm:sqref>
        </x14:conditionalFormatting>
        <x14:conditionalFormatting xmlns:xm="http://schemas.microsoft.com/office/excel/2006/main">
          <x14:cfRule type="cellIs" priority="8" operator="greaterThan" id="{A0686433-CEC5-4560-A307-F81B9D30B8C2}">
            <xm:f>'3) Parametros_modelo'!$C$86</xm:f>
            <x14:dxf>
              <fill>
                <patternFill>
                  <bgColor rgb="FFFFC7CE"/>
                </patternFill>
              </fill>
            </x14:dxf>
          </x14:cfRule>
          <xm:sqref>CR79</xm:sqref>
        </x14:conditionalFormatting>
        <x14:conditionalFormatting xmlns:xm="http://schemas.microsoft.com/office/excel/2006/main">
          <x14:cfRule type="cellIs" priority="7" operator="greaterThan" id="{D009F657-401C-4660-B171-8C42CD144702}">
            <xm:f>'3) Parametros_modelo'!$C$86</xm:f>
            <x14:dxf>
              <fill>
                <patternFill>
                  <bgColor rgb="FFFFC7CE"/>
                </patternFill>
              </fill>
            </x14:dxf>
          </x14:cfRule>
          <xm:sqref>CR80</xm:sqref>
        </x14:conditionalFormatting>
        <x14:conditionalFormatting xmlns:xm="http://schemas.microsoft.com/office/excel/2006/main">
          <x14:cfRule type="cellIs" priority="6" operator="greaterThan" id="{DFAEAF1D-E185-4AF9-A454-2E872E448111}">
            <xm:f>'3) Parametros_modelo'!$C$86</xm:f>
            <x14:dxf>
              <fill>
                <patternFill>
                  <bgColor rgb="FFFFC7CE"/>
                </patternFill>
              </fill>
            </x14:dxf>
          </x14:cfRule>
          <xm:sqref>CR78</xm:sqref>
        </x14:conditionalFormatting>
        <x14:conditionalFormatting xmlns:xm="http://schemas.microsoft.com/office/excel/2006/main">
          <x14:cfRule type="cellIs" priority="5" operator="greaterThan" id="{33E83A5D-0BF9-4FED-B0E1-21AF0FFF9ADA}">
            <xm:f>'3) Parametros_modelo'!$C$86</xm:f>
            <x14:dxf>
              <fill>
                <patternFill>
                  <bgColor rgb="FFFFC7CE"/>
                </patternFill>
              </fill>
            </x14:dxf>
          </x14:cfRule>
          <xm:sqref>CP75</xm:sqref>
        </x14:conditionalFormatting>
        <x14:conditionalFormatting xmlns:xm="http://schemas.microsoft.com/office/excel/2006/main">
          <x14:cfRule type="cellIs" priority="4" operator="greaterThan" id="{31B7ECC6-EB0B-4A05-8EA9-05DDD8FD0DA7}">
            <xm:f>'3) Parametros_modelo'!$C$86</xm:f>
            <x14:dxf>
              <fill>
                <patternFill>
                  <bgColor rgb="FFFFC7CE"/>
                </patternFill>
              </fill>
            </x14:dxf>
          </x14:cfRule>
          <xm:sqref>CP76</xm:sqref>
        </x14:conditionalFormatting>
        <x14:conditionalFormatting xmlns:xm="http://schemas.microsoft.com/office/excel/2006/main">
          <x14:cfRule type="cellIs" priority="3" operator="greaterThan" id="{F62A33FE-B159-4C1D-8CE6-D1D1FBC39D63}">
            <xm:f>'3) Parametros_modelo'!$C$86</xm:f>
            <x14:dxf>
              <fill>
                <patternFill>
                  <bgColor rgb="FFFFC7CE"/>
                </patternFill>
              </fill>
            </x14:dxf>
          </x14:cfRule>
          <xm:sqref>CR77</xm:sqref>
        </x14:conditionalFormatting>
        <x14:conditionalFormatting xmlns:xm="http://schemas.microsoft.com/office/excel/2006/main">
          <x14:cfRule type="cellIs" priority="2" operator="greaterThan" id="{E5ACB0B3-FDC1-4AD3-BA50-E67C05AAA4DB}">
            <xm:f>'3) Parametros_modelo'!$C$86</xm:f>
            <x14:dxf>
              <fill>
                <patternFill>
                  <bgColor rgb="FFFFC7CE"/>
                </patternFill>
              </fill>
            </x14:dxf>
          </x14:cfRule>
          <xm:sqref>CR75</xm:sqref>
        </x14:conditionalFormatting>
        <x14:conditionalFormatting xmlns:xm="http://schemas.microsoft.com/office/excel/2006/main">
          <x14:cfRule type="cellIs" priority="1" operator="greaterThan" id="{14FC9954-9652-4D0C-8EF8-FDFEA94CF667}">
            <xm:f>'3) Parametros_modelo'!$C$86</xm:f>
            <x14:dxf>
              <fill>
                <patternFill>
                  <bgColor rgb="FFFFC7CE"/>
                </patternFill>
              </fill>
            </x14:dxf>
          </x14:cfRule>
          <xm:sqref>CR76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tint="-0.14999847407452621"/>
  </sheetPr>
  <dimension ref="A1:Z392"/>
  <sheetViews>
    <sheetView zoomScale="70" zoomScaleNormal="70" workbookViewId="0">
      <selection activeCell="M282" activeCellId="37" sqref="K9 L9 O9 P9 M23 M25 M26 C23:I23 C25:I26 C45:I45 M45 C51:I51 M51 C61:I61 M61 C70:F70 C71:P71 C73:P73 G93:H93 I93 M93 C128:P128 C152:P152 K162:L162 O162:P162 C167:P167 C175:P175 C187:P187 C190:P190 C192:P192 C213:P213 L239 P239 C253:P253 C256:P256 C259:P259 C282:I282 M282"/>
    </sheetView>
  </sheetViews>
  <sheetFormatPr defaultColWidth="0" defaultRowHeight="14.5" zeroHeight="1" x14ac:dyDescent="0.35"/>
  <cols>
    <col min="1" max="1" width="11.453125" style="301" customWidth="1"/>
    <col min="2" max="2" width="90.453125" style="299" customWidth="1"/>
    <col min="3" max="3" width="16.81640625" style="299" customWidth="1"/>
    <col min="4" max="4" width="16.26953125" style="299" customWidth="1"/>
    <col min="5" max="5" width="20.81640625" style="299" customWidth="1"/>
    <col min="6" max="6" width="19.26953125" style="299" customWidth="1"/>
    <col min="7" max="8" width="20.81640625" style="299" customWidth="1"/>
    <col min="9" max="9" width="14.26953125" style="299" customWidth="1"/>
    <col min="10" max="10" width="13.453125" style="299" bestFit="1" customWidth="1"/>
    <col min="11" max="11" width="15.453125" style="299" bestFit="1" customWidth="1"/>
    <col min="12" max="12" width="13.81640625" style="299" bestFit="1" customWidth="1"/>
    <col min="13" max="13" width="13.1796875" style="299" customWidth="1"/>
    <col min="14" max="14" width="13.453125" style="299" bestFit="1" customWidth="1"/>
    <col min="15" max="15" width="15.453125" style="299" bestFit="1" customWidth="1"/>
    <col min="16" max="16" width="14.26953125" style="299" bestFit="1" customWidth="1"/>
    <col min="17" max="17" width="45.54296875" style="299" customWidth="1"/>
    <col min="18" max="18" width="46.7265625" style="299" customWidth="1"/>
    <col min="19" max="19" width="22.1796875" style="301" hidden="1" customWidth="1"/>
    <col min="20" max="20" width="79.26953125" style="301" hidden="1" customWidth="1"/>
    <col min="21" max="21" width="34.1796875" style="301" hidden="1" customWidth="1"/>
    <col min="22" max="25" width="11.453125" style="301" hidden="1" customWidth="1"/>
    <col min="26" max="26" width="14.81640625" style="301" hidden="1" customWidth="1"/>
    <col min="27" max="16384" width="11.453125" style="301" hidden="1"/>
  </cols>
  <sheetData>
    <row r="1" spans="1:26" ht="15" thickBot="1" x14ac:dyDescent="0.4"/>
    <row r="2" spans="1:26" ht="126.75" customHeight="1" thickBot="1" x14ac:dyDescent="0.4">
      <c r="A2" s="299"/>
      <c r="B2" s="1110" t="str">
        <f>Language!A403</f>
        <v>Indicaciones de uso:
Se puede utilizar la herramienta sin modificar esta pestaña.
Para un uso avanzado de la herramienta: las casillas en gris claro pueden modificarse.</v>
      </c>
      <c r="C2" s="1111"/>
      <c r="D2" s="1112"/>
      <c r="E2" s="682"/>
      <c r="F2" s="682"/>
      <c r="G2" s="682"/>
      <c r="H2" s="682"/>
      <c r="I2" s="682"/>
      <c r="J2" s="682"/>
      <c r="K2" s="682"/>
      <c r="L2" s="682"/>
      <c r="M2" s="682"/>
      <c r="N2" s="682"/>
      <c r="O2" s="683"/>
      <c r="P2" s="683"/>
      <c r="R2" s="1109"/>
    </row>
    <row r="3" spans="1:26" ht="34" thickBot="1" x14ac:dyDescent="0.4">
      <c r="A3" s="299"/>
      <c r="B3" s="683"/>
      <c r="C3" s="683"/>
      <c r="D3" s="683"/>
      <c r="E3" s="683"/>
      <c r="F3" s="683"/>
      <c r="G3" s="683"/>
      <c r="H3" s="683"/>
      <c r="I3" s="683"/>
      <c r="J3" s="683"/>
      <c r="K3" s="683"/>
      <c r="L3" s="683"/>
      <c r="M3" s="683"/>
      <c r="N3" s="683"/>
      <c r="O3" s="683"/>
      <c r="P3" s="683"/>
      <c r="R3" s="1109"/>
      <c r="Y3" s="351" t="s">
        <v>100</v>
      </c>
      <c r="Z3" s="351" t="s">
        <v>254</v>
      </c>
    </row>
    <row r="4" spans="1:26" ht="32.25" customHeight="1" thickBot="1" x14ac:dyDescent="0.4">
      <c r="A4" s="299"/>
      <c r="B4" s="1082" t="str">
        <f>Language!A402</f>
        <v>Cálculos de escenarios</v>
      </c>
      <c r="C4" s="1083"/>
      <c r="D4" s="1083"/>
      <c r="E4" s="1083"/>
      <c r="F4" s="1083"/>
      <c r="G4" s="1083"/>
      <c r="H4" s="1083"/>
      <c r="I4" s="1083"/>
      <c r="J4" s="1083"/>
      <c r="K4" s="1083"/>
      <c r="L4" s="1083"/>
      <c r="M4" s="1083"/>
      <c r="N4" s="1083"/>
      <c r="O4" s="1083"/>
      <c r="P4" s="1084"/>
      <c r="R4" s="1109"/>
      <c r="S4" s="301" t="s">
        <v>103</v>
      </c>
      <c r="T4" s="301" t="s">
        <v>5</v>
      </c>
      <c r="U4" s="301" t="s">
        <v>1</v>
      </c>
      <c r="Y4" s="351" t="s">
        <v>101</v>
      </c>
      <c r="Z4" s="351" t="s">
        <v>255</v>
      </c>
    </row>
    <row r="5" spans="1:26" ht="63" x14ac:dyDescent="0.35">
      <c r="A5" s="299"/>
      <c r="B5" s="684"/>
      <c r="C5" s="685" t="str">
        <f>Language!A410</f>
        <v>A.1 Recolección por acera</v>
      </c>
      <c r="D5" s="685" t="str">
        <f>Language!A411</f>
        <v>A.2 Recolección por acera</v>
      </c>
      <c r="E5" s="685" t="str">
        <f>Language!A412</f>
        <v>B.1 Recolección por esquina</v>
      </c>
      <c r="F5" s="685" t="str">
        <f>Language!A413</f>
        <v>B.2 Recolección por esquina</v>
      </c>
      <c r="G5" s="685" t="str">
        <f>Language!A414</f>
        <v>C.1 Recolección con contenedores</v>
      </c>
      <c r="H5" s="685" t="str">
        <f>Language!A414</f>
        <v>C.1 Recolección con contenedores</v>
      </c>
      <c r="I5" s="1089" t="str">
        <f>Language!A414</f>
        <v>C.1 Recolección con contenedores</v>
      </c>
      <c r="J5" s="1090"/>
      <c r="K5" s="1090"/>
      <c r="L5" s="1091"/>
      <c r="M5" s="1089" t="str">
        <f>Language!A417</f>
        <v>D.2 Recolección diferenciada con contenedores</v>
      </c>
      <c r="N5" s="1090"/>
      <c r="O5" s="1090"/>
      <c r="P5" s="1091"/>
      <c r="Q5" s="304"/>
      <c r="R5" s="1109"/>
    </row>
    <row r="6" spans="1:26" ht="29.25" customHeight="1" x14ac:dyDescent="0.35">
      <c r="A6" s="299"/>
      <c r="B6" s="684" t="str">
        <f>Language!A404</f>
        <v>¿Se usa estación de transferencia?</v>
      </c>
      <c r="C6" s="685" t="str">
        <f>Language!A407</f>
        <v>No</v>
      </c>
      <c r="D6" s="685" t="str">
        <f>Language!A406</f>
        <v>Si</v>
      </c>
      <c r="E6" s="685" t="str">
        <f>Language!A407</f>
        <v>No</v>
      </c>
      <c r="F6" s="685" t="str">
        <f>Language!A406</f>
        <v>Si</v>
      </c>
      <c r="G6" s="685" t="str">
        <f>Language!A407</f>
        <v>No</v>
      </c>
      <c r="H6" s="685" t="str">
        <f>Language!A406</f>
        <v>Si</v>
      </c>
      <c r="I6" s="1089" t="str">
        <f>Language!A407</f>
        <v>No</v>
      </c>
      <c r="J6" s="1090"/>
      <c r="K6" s="1090"/>
      <c r="L6" s="1091"/>
      <c r="M6" s="1089" t="str">
        <f>Language!A406</f>
        <v>Si</v>
      </c>
      <c r="N6" s="1090"/>
      <c r="O6" s="1090"/>
      <c r="P6" s="1091"/>
      <c r="Q6" s="686"/>
      <c r="R6" s="686"/>
      <c r="T6" s="397" t="s">
        <v>116</v>
      </c>
    </row>
    <row r="7" spans="1:26" ht="42.5" thickBot="1" x14ac:dyDescent="0.4">
      <c r="A7" s="299"/>
      <c r="B7" s="684" t="str">
        <f>Language!A405</f>
        <v>Tipo de recolección</v>
      </c>
      <c r="C7" s="687" t="str">
        <f>Language!A408</f>
        <v>Casa por casa</v>
      </c>
      <c r="D7" s="687" t="str">
        <f>Language!A408</f>
        <v>Casa por casa</v>
      </c>
      <c r="E7" s="687" t="str">
        <f>Language!A409</f>
        <v>Esquina</v>
      </c>
      <c r="F7" s="687" t="str">
        <f>Language!A409</f>
        <v>Esquina</v>
      </c>
      <c r="G7" s="687" t="str">
        <f>Language!A409</f>
        <v>Esquina</v>
      </c>
      <c r="H7" s="687" t="str">
        <f>Language!A409</f>
        <v>Esquina</v>
      </c>
      <c r="I7" s="1092" t="str">
        <f>Language!A409</f>
        <v>Esquina</v>
      </c>
      <c r="J7" s="1093"/>
      <c r="K7" s="1093"/>
      <c r="L7" s="1094"/>
      <c r="M7" s="1092" t="str">
        <f>Language!A409</f>
        <v>Esquina</v>
      </c>
      <c r="N7" s="1093"/>
      <c r="O7" s="1093"/>
      <c r="P7" s="1094"/>
      <c r="Q7" s="688"/>
      <c r="R7" s="686"/>
      <c r="T7" s="397"/>
    </row>
    <row r="8" spans="1:26" ht="21.5" thickBot="1" x14ac:dyDescent="0.55000000000000004">
      <c r="A8" s="299"/>
      <c r="B8" s="689"/>
      <c r="C8" s="690"/>
      <c r="D8" s="690"/>
      <c r="E8" s="690"/>
      <c r="F8" s="691"/>
      <c r="G8" s="691"/>
      <c r="H8" s="692"/>
      <c r="I8" s="692"/>
      <c r="J8" s="693" t="str">
        <f>Language!A418</f>
        <v>Desechos</v>
      </c>
      <c r="K8" s="693" t="str">
        <f>Language!A419</f>
        <v>Reciclables</v>
      </c>
      <c r="L8" s="693" t="str">
        <f>Language!A420</f>
        <v>Orgánicos</v>
      </c>
      <c r="M8" s="692"/>
      <c r="N8" s="693" t="str">
        <f>Language!A418</f>
        <v>Desechos</v>
      </c>
      <c r="O8" s="693" t="str">
        <f>Language!A419</f>
        <v>Reciclables</v>
      </c>
      <c r="P8" s="693" t="str">
        <f>Language!A420</f>
        <v>Orgánicos</v>
      </c>
      <c r="Q8" s="694"/>
    </row>
    <row r="9" spans="1:26" ht="35.25" customHeight="1" thickBot="1" x14ac:dyDescent="0.4">
      <c r="A9" s="299"/>
      <c r="B9" s="695" t="str">
        <f>Language!A421</f>
        <v>¿Se separa esta fracción especifica?</v>
      </c>
      <c r="C9" s="696"/>
      <c r="D9" s="696"/>
      <c r="E9" s="696"/>
      <c r="F9" s="697"/>
      <c r="G9" s="697"/>
      <c r="H9" s="698"/>
      <c r="I9" s="698"/>
      <c r="J9" s="699" t="str">
        <f>Language!A406</f>
        <v>Si</v>
      </c>
      <c r="K9" s="34" t="str">
        <f>J9</f>
        <v>Si</v>
      </c>
      <c r="L9" s="35" t="str">
        <f>J9</f>
        <v>Si</v>
      </c>
      <c r="M9" s="698"/>
      <c r="N9" s="699" t="str">
        <f>Language!A406</f>
        <v>Si</v>
      </c>
      <c r="O9" s="34" t="str">
        <f>N9</f>
        <v>Si</v>
      </c>
      <c r="P9" s="35" t="str">
        <f>N9</f>
        <v>Si</v>
      </c>
      <c r="Q9" s="700"/>
      <c r="R9" s="701"/>
    </row>
    <row r="10" spans="1:26" ht="58.5" hidden="1" thickBot="1" x14ac:dyDescent="0.4">
      <c r="A10" s="299"/>
      <c r="B10" s="672" t="s">
        <v>177</v>
      </c>
      <c r="C10" s="702" t="e">
        <f>C107</f>
        <v>#DIV/0!</v>
      </c>
      <c r="D10" s="702" t="e">
        <f>D107</f>
        <v>#DIV/0!</v>
      </c>
      <c r="E10" s="702" t="e">
        <f>E107</f>
        <v>#DIV/0!</v>
      </c>
      <c r="F10" s="702" t="e">
        <f>F107</f>
        <v>#DIV/0!</v>
      </c>
      <c r="G10" s="703" t="e">
        <f>G108</f>
        <v>#DIV/0!</v>
      </c>
      <c r="H10" s="703" t="e">
        <f>H108</f>
        <v>#DIV/0!</v>
      </c>
      <c r="I10" s="703" t="e">
        <f>I108</f>
        <v>#DIV/0!</v>
      </c>
      <c r="J10" s="703"/>
      <c r="K10" s="703"/>
      <c r="L10" s="703"/>
      <c r="M10" s="703" t="e">
        <f>M108</f>
        <v>#DIV/0!</v>
      </c>
      <c r="N10" s="704"/>
      <c r="O10" s="508"/>
      <c r="P10" s="508"/>
      <c r="Q10" s="705" t="s">
        <v>178</v>
      </c>
      <c r="R10" s="686"/>
      <c r="S10" s="397"/>
      <c r="T10" s="706"/>
    </row>
    <row r="11" spans="1:26" ht="15" thickBot="1" x14ac:dyDescent="0.4">
      <c r="A11" s="299"/>
      <c r="Q11" s="686"/>
      <c r="R11" s="686"/>
      <c r="S11" s="397"/>
      <c r="T11" s="397"/>
    </row>
    <row r="12" spans="1:26" ht="62" thickBot="1" x14ac:dyDescent="0.55000000000000004">
      <c r="A12" s="299"/>
      <c r="B12" s="1100" t="str">
        <f>Language!A422</f>
        <v>Cálculos</v>
      </c>
      <c r="C12" s="1101"/>
      <c r="D12" s="1101"/>
      <c r="E12" s="1101"/>
      <c r="F12" s="1101"/>
      <c r="G12" s="1101"/>
      <c r="H12" s="1101"/>
      <c r="I12" s="1101"/>
      <c r="J12" s="1101"/>
      <c r="K12" s="1101"/>
      <c r="L12" s="1101"/>
      <c r="M12" s="1101"/>
      <c r="N12" s="1101"/>
      <c r="O12" s="1101"/>
      <c r="P12" s="1101"/>
      <c r="Q12" s="707"/>
      <c r="R12" s="708"/>
    </row>
    <row r="13" spans="1:26" ht="15" thickBot="1" x14ac:dyDescent="0.4">
      <c r="A13" s="299"/>
    </row>
    <row r="14" spans="1:26" x14ac:dyDescent="0.35">
      <c r="A14" s="299"/>
      <c r="B14" s="493" t="str">
        <f>Language!A423</f>
        <v>Recolección primaria</v>
      </c>
      <c r="C14" s="709"/>
      <c r="D14" s="709"/>
      <c r="E14" s="709"/>
      <c r="F14" s="494"/>
      <c r="G14" s="494"/>
      <c r="H14" s="494"/>
      <c r="I14" s="494"/>
      <c r="J14" s="494"/>
      <c r="K14" s="494"/>
      <c r="L14" s="494"/>
      <c r="M14" s="494"/>
      <c r="N14" s="494"/>
      <c r="O14" s="494"/>
      <c r="P14" s="494"/>
      <c r="Q14" s="495"/>
    </row>
    <row r="15" spans="1:26" x14ac:dyDescent="0.35">
      <c r="A15" s="299"/>
      <c r="B15" s="504" t="str">
        <f>Language!A424</f>
        <v>Generación domiciliar [kg/día]</v>
      </c>
      <c r="C15" s="710">
        <f>daycapgeneration*'3) Parametros_modelo'!$C$56</f>
        <v>0</v>
      </c>
      <c r="D15" s="710">
        <f>daycapgeneration*'3) Parametros_modelo'!$C$56</f>
        <v>0</v>
      </c>
      <c r="E15" s="710">
        <f>daycapgeneration*'3) Parametros_modelo'!$C$56</f>
        <v>0</v>
      </c>
      <c r="F15" s="711">
        <f>daycapgeneration*'3) Parametros_modelo'!$C$56</f>
        <v>0</v>
      </c>
      <c r="G15" s="711">
        <f>daycapgeneration*'3) Parametros_modelo'!$C$56</f>
        <v>0</v>
      </c>
      <c r="H15" s="711">
        <f>daycapgeneration*'3) Parametros_modelo'!$C$56</f>
        <v>0</v>
      </c>
      <c r="I15" s="712">
        <f>daycapgeneration*'3) Parametros_modelo'!$C$56</f>
        <v>0</v>
      </c>
      <c r="J15" s="712"/>
      <c r="K15" s="712"/>
      <c r="L15" s="712"/>
      <c r="M15" s="712">
        <f>daycapgeneration*'3) Parametros_modelo'!$C$56</f>
        <v>0</v>
      </c>
      <c r="N15" s="712"/>
      <c r="O15" s="712"/>
      <c r="P15" s="712"/>
      <c r="Q15" s="652"/>
    </row>
    <row r="16" spans="1:26" x14ac:dyDescent="0.35">
      <c r="A16" s="299"/>
      <c r="B16" s="504" t="str">
        <f>Language!A425</f>
        <v>Cantidad de RS domiciliares a gestionar en días laborales [kg/día]</v>
      </c>
      <c r="C16" s="711">
        <f t="shared" ref="C16:I16" si="0">C15*daysofgeneration/daysofwork</f>
        <v>0</v>
      </c>
      <c r="D16" s="711">
        <f t="shared" si="0"/>
        <v>0</v>
      </c>
      <c r="E16" s="711">
        <f t="shared" si="0"/>
        <v>0</v>
      </c>
      <c r="F16" s="711">
        <f t="shared" si="0"/>
        <v>0</v>
      </c>
      <c r="G16" s="711">
        <f t="shared" si="0"/>
        <v>0</v>
      </c>
      <c r="H16" s="711">
        <f t="shared" si="0"/>
        <v>0</v>
      </c>
      <c r="I16" s="712">
        <f t="shared" si="0"/>
        <v>0</v>
      </c>
      <c r="J16" s="712"/>
      <c r="K16" s="712"/>
      <c r="L16" s="712"/>
      <c r="M16" s="712">
        <f>M15*daysofgeneration/daysofwork</f>
        <v>0</v>
      </c>
      <c r="N16" s="712"/>
      <c r="O16" s="712"/>
      <c r="P16" s="712"/>
      <c r="Q16" s="652"/>
    </row>
    <row r="17" spans="1:17" x14ac:dyDescent="0.35">
      <c r="A17" s="299"/>
      <c r="B17" s="504" t="str">
        <f>Language!A426</f>
        <v>Generación no domiciliar diaria total [kg/día]</v>
      </c>
      <c r="C17" s="713">
        <f t="shared" ref="C17:I18" si="1">C15*otherwastefraction/(1-otherwastefraction)</f>
        <v>0</v>
      </c>
      <c r="D17" s="713">
        <f t="shared" si="1"/>
        <v>0</v>
      </c>
      <c r="E17" s="713">
        <f t="shared" si="1"/>
        <v>0</v>
      </c>
      <c r="F17" s="713">
        <f t="shared" si="1"/>
        <v>0</v>
      </c>
      <c r="G17" s="713">
        <f t="shared" si="1"/>
        <v>0</v>
      </c>
      <c r="H17" s="713">
        <f t="shared" si="1"/>
        <v>0</v>
      </c>
      <c r="I17" s="713">
        <f t="shared" si="1"/>
        <v>0</v>
      </c>
      <c r="J17" s="713"/>
      <c r="K17" s="713"/>
      <c r="L17" s="713"/>
      <c r="M17" s="713">
        <f>M15*otherwastefraction</f>
        <v>0</v>
      </c>
      <c r="N17" s="713"/>
      <c r="O17" s="713"/>
      <c r="P17" s="713"/>
      <c r="Q17" s="652"/>
    </row>
    <row r="18" spans="1:17" x14ac:dyDescent="0.35">
      <c r="A18" s="299"/>
      <c r="B18" s="504" t="str">
        <f>Language!A427</f>
        <v>Cantidad de RS no domiciliares a gestionar en días laborales [kg/día]</v>
      </c>
      <c r="C18" s="713">
        <f t="shared" si="1"/>
        <v>0</v>
      </c>
      <c r="D18" s="713">
        <f t="shared" si="1"/>
        <v>0</v>
      </c>
      <c r="E18" s="713">
        <f t="shared" si="1"/>
        <v>0</v>
      </c>
      <c r="F18" s="713">
        <f t="shared" si="1"/>
        <v>0</v>
      </c>
      <c r="G18" s="713">
        <f t="shared" si="1"/>
        <v>0</v>
      </c>
      <c r="H18" s="713">
        <f t="shared" si="1"/>
        <v>0</v>
      </c>
      <c r="I18" s="713">
        <f t="shared" si="1"/>
        <v>0</v>
      </c>
      <c r="J18" s="713"/>
      <c r="K18" s="713"/>
      <c r="L18" s="713"/>
      <c r="M18" s="713">
        <f>M16*otherwastefraction</f>
        <v>0</v>
      </c>
      <c r="N18" s="713"/>
      <c r="O18" s="713"/>
      <c r="P18" s="713"/>
      <c r="Q18" s="652"/>
    </row>
    <row r="19" spans="1:17" x14ac:dyDescent="0.35">
      <c r="A19" s="299"/>
      <c r="B19" s="504" t="str">
        <f>Language!A428</f>
        <v>Familias equivalentes [familias]</v>
      </c>
      <c r="C19" s="710" t="e">
        <f>'3) Parametros_modelo'!$C$56*(1/(1-otherwastefraction))/HHsize</f>
        <v>#DIV/0!</v>
      </c>
      <c r="D19" s="710" t="e">
        <f>'3) Parametros_modelo'!$C$56*(1/(1-otherwastefraction))/HHsize</f>
        <v>#DIV/0!</v>
      </c>
      <c r="E19" s="710" t="e">
        <f>'3) Parametros_modelo'!$C$56*(1/(1-otherwastefraction))/HHsize</f>
        <v>#DIV/0!</v>
      </c>
      <c r="F19" s="710" t="e">
        <f>'3) Parametros_modelo'!$C$56*(1/(1-otherwastefraction))/HHsize</f>
        <v>#DIV/0!</v>
      </c>
      <c r="G19" s="710" t="e">
        <f>'3) Parametros_modelo'!$C$56*(1/(1-otherwastefraction))/HHsize</f>
        <v>#DIV/0!</v>
      </c>
      <c r="H19" s="710" t="e">
        <f>'3) Parametros_modelo'!$C$56*(1/(1-otherwastefraction))/HHsize</f>
        <v>#DIV/0!</v>
      </c>
      <c r="I19" s="710" t="e">
        <f>'3) Parametros_modelo'!$C$56*(1/(1-otherwastefraction))/HHsize</f>
        <v>#DIV/0!</v>
      </c>
      <c r="J19" s="712"/>
      <c r="K19" s="712"/>
      <c r="L19" s="712"/>
      <c r="M19" s="710" t="e">
        <f>'3) Parametros_modelo'!$C$56*(1+otherwastefraction)/HHsize</f>
        <v>#DIV/0!</v>
      </c>
      <c r="N19" s="712"/>
      <c r="O19" s="712"/>
      <c r="P19" s="712"/>
      <c r="Q19" s="652"/>
    </row>
    <row r="20" spans="1:17" x14ac:dyDescent="0.35">
      <c r="A20" s="299"/>
      <c r="B20" s="504" t="str">
        <f>Language!A429</f>
        <v>Densidad de población equivalente [personas/km2]</v>
      </c>
      <c r="C20" s="710" t="e">
        <f>'3) Parametros_modelo'!$C$56*(1/(1-otherwastefraction))/'3) Parametros_modelo'!$C$57</f>
        <v>#DIV/0!</v>
      </c>
      <c r="D20" s="710" t="e">
        <f>'3) Parametros_modelo'!$C$56*(1/(1-otherwastefraction))/'3) Parametros_modelo'!$C$57</f>
        <v>#DIV/0!</v>
      </c>
      <c r="E20" s="710" t="e">
        <f>'3) Parametros_modelo'!$C$56*(1/(1-otherwastefraction))/'3) Parametros_modelo'!$C$57</f>
        <v>#DIV/0!</v>
      </c>
      <c r="F20" s="710" t="e">
        <f>'3) Parametros_modelo'!$C$56*(1/(1-otherwastefraction))/'3) Parametros_modelo'!$C$57</f>
        <v>#DIV/0!</v>
      </c>
      <c r="G20" s="710" t="e">
        <f>'3) Parametros_modelo'!$C$56*(1/(1-otherwastefraction))/'3) Parametros_modelo'!$C$57</f>
        <v>#DIV/0!</v>
      </c>
      <c r="H20" s="710" t="e">
        <f>'3) Parametros_modelo'!$C$56*(1/(1-otherwastefraction))/'3) Parametros_modelo'!$C$57</f>
        <v>#DIV/0!</v>
      </c>
      <c r="I20" s="710" t="e">
        <f>'3) Parametros_modelo'!$C$56*(1/(1-otherwastefraction))/'3) Parametros_modelo'!$C$57</f>
        <v>#DIV/0!</v>
      </c>
      <c r="J20" s="712"/>
      <c r="K20" s="712"/>
      <c r="L20" s="712"/>
      <c r="M20" s="710" t="e">
        <f>'3) Parametros_modelo'!$C$56*(1+otherwastefraction)/'3) Parametros_modelo'!$C$57</f>
        <v>#DIV/0!</v>
      </c>
      <c r="N20" s="712"/>
      <c r="O20" s="712"/>
      <c r="P20" s="712"/>
      <c r="Q20" s="652"/>
    </row>
    <row r="21" spans="1:17" x14ac:dyDescent="0.35">
      <c r="A21" s="299"/>
      <c r="B21" s="504" t="str">
        <f>Language!A430</f>
        <v>Población equivalente por km de carretera [personas/km]</v>
      </c>
      <c r="C21" s="711" t="e">
        <f>C20/'3) Parametros_modelo'!$C$58</f>
        <v>#DIV/0!</v>
      </c>
      <c r="D21" s="711" t="e">
        <f>D20/'3) Parametros_modelo'!$C$58</f>
        <v>#DIV/0!</v>
      </c>
      <c r="E21" s="711" t="e">
        <f>E20/'3) Parametros_modelo'!$C$58</f>
        <v>#DIV/0!</v>
      </c>
      <c r="F21" s="711" t="e">
        <f>F20/'3) Parametros_modelo'!$C$58</f>
        <v>#DIV/0!</v>
      </c>
      <c r="G21" s="711" t="e">
        <f>G20/'3) Parametros_modelo'!$C$58</f>
        <v>#DIV/0!</v>
      </c>
      <c r="H21" s="711" t="e">
        <f>H20/'3) Parametros_modelo'!$C$58</f>
        <v>#DIV/0!</v>
      </c>
      <c r="I21" s="711" t="e">
        <f>I20/'3) Parametros_modelo'!$C$58</f>
        <v>#DIV/0!</v>
      </c>
      <c r="J21" s="712"/>
      <c r="K21" s="712"/>
      <c r="L21" s="712"/>
      <c r="M21" s="711" t="e">
        <f>M20/'3) Parametros_modelo'!$C$58</f>
        <v>#DIV/0!</v>
      </c>
      <c r="N21" s="712"/>
      <c r="O21" s="712"/>
      <c r="P21" s="712"/>
      <c r="Q21" s="652"/>
    </row>
    <row r="22" spans="1:17" x14ac:dyDescent="0.35">
      <c r="A22" s="299"/>
      <c r="B22" s="504" t="str">
        <f>Language!A431</f>
        <v>Viviendas equivalentes por km de carretera [vivienda/km]</v>
      </c>
      <c r="C22" s="711" t="e">
        <f t="shared" ref="C22:I22" si="2">C21/HHsize</f>
        <v>#DIV/0!</v>
      </c>
      <c r="D22" s="711" t="e">
        <f t="shared" si="2"/>
        <v>#DIV/0!</v>
      </c>
      <c r="E22" s="711" t="e">
        <f t="shared" si="2"/>
        <v>#DIV/0!</v>
      </c>
      <c r="F22" s="711" t="e">
        <f t="shared" si="2"/>
        <v>#DIV/0!</v>
      </c>
      <c r="G22" s="711" t="e">
        <f t="shared" si="2"/>
        <v>#DIV/0!</v>
      </c>
      <c r="H22" s="711" t="e">
        <f t="shared" si="2"/>
        <v>#DIV/0!</v>
      </c>
      <c r="I22" s="711" t="e">
        <f t="shared" si="2"/>
        <v>#DIV/0!</v>
      </c>
      <c r="J22" s="711"/>
      <c r="K22" s="711"/>
      <c r="L22" s="711"/>
      <c r="M22" s="711" t="e">
        <f>M21/HHsize</f>
        <v>#DIV/0!</v>
      </c>
      <c r="N22" s="711"/>
      <c r="O22" s="711"/>
      <c r="P22" s="711"/>
      <c r="Q22" s="652"/>
    </row>
    <row r="23" spans="1:17" x14ac:dyDescent="0.35">
      <c r="A23" s="299"/>
      <c r="B23" s="504" t="str">
        <f>Language!A432</f>
        <v>Factor correctivo de distancia []</v>
      </c>
      <c r="C23" s="14">
        <v>1.4</v>
      </c>
      <c r="D23" s="14">
        <v>1.4</v>
      </c>
      <c r="E23" s="14">
        <v>1.4</v>
      </c>
      <c r="F23" s="14">
        <v>1.4</v>
      </c>
      <c r="G23" s="14">
        <v>1.4</v>
      </c>
      <c r="H23" s="14">
        <v>1.4</v>
      </c>
      <c r="I23" s="14">
        <v>1.4</v>
      </c>
      <c r="J23" s="711"/>
      <c r="K23" s="711"/>
      <c r="L23" s="711"/>
      <c r="M23" s="14">
        <v>1.4</v>
      </c>
      <c r="N23" s="711"/>
      <c r="O23" s="711"/>
      <c r="P23" s="711"/>
      <c r="Q23" s="652"/>
    </row>
    <row r="24" spans="1:17" x14ac:dyDescent="0.35">
      <c r="A24" s="299"/>
      <c r="B24" s="504" t="str">
        <f>Language!A433</f>
        <v>Longitud corregida de carretera total a recolectar [km]</v>
      </c>
      <c r="C24" s="711">
        <f>'3) Parametros_modelo'!$C$57*'3) Parametros_modelo'!$C$58*C23</f>
        <v>0</v>
      </c>
      <c r="D24" s="711">
        <f>'3) Parametros_modelo'!$C$57*'3) Parametros_modelo'!$C$58*D23</f>
        <v>0</v>
      </c>
      <c r="E24" s="711">
        <f>'3) Parametros_modelo'!$C$57*'3) Parametros_modelo'!$C$58*E23</f>
        <v>0</v>
      </c>
      <c r="F24" s="711">
        <f>'3) Parametros_modelo'!$C$57*'3) Parametros_modelo'!$C$58*F23</f>
        <v>0</v>
      </c>
      <c r="G24" s="711">
        <f>'3) Parametros_modelo'!$C$57*'3) Parametros_modelo'!$C$58*G23</f>
        <v>0</v>
      </c>
      <c r="H24" s="711">
        <f>'3) Parametros_modelo'!$C$57*'3) Parametros_modelo'!$C$58*H23</f>
        <v>0</v>
      </c>
      <c r="I24" s="711">
        <f>'3) Parametros_modelo'!$C$57*'3) Parametros_modelo'!$C$58*I23</f>
        <v>0</v>
      </c>
      <c r="J24" s="711"/>
      <c r="K24" s="711"/>
      <c r="L24" s="711"/>
      <c r="M24" s="711">
        <f>'3) Parametros_modelo'!$C$57*'3) Parametros_modelo'!$C$58*M23</f>
        <v>0</v>
      </c>
      <c r="N24" s="711"/>
      <c r="O24" s="711"/>
      <c r="P24" s="711"/>
      <c r="Q24" s="652"/>
    </row>
    <row r="25" spans="1:17" x14ac:dyDescent="0.35">
      <c r="A25" s="299"/>
      <c r="B25" s="504" t="str">
        <f>Language!A434</f>
        <v>Promedio de familias recolectadas en cada parada del camión recolector [familias/parada]</v>
      </c>
      <c r="C25" s="14">
        <v>1</v>
      </c>
      <c r="D25" s="14">
        <v>1</v>
      </c>
      <c r="E25" s="14">
        <v>1</v>
      </c>
      <c r="F25" s="14">
        <v>1</v>
      </c>
      <c r="G25" s="14">
        <v>1</v>
      </c>
      <c r="H25" s="14">
        <v>1</v>
      </c>
      <c r="I25" s="14">
        <v>1</v>
      </c>
      <c r="J25" s="711"/>
      <c r="K25" s="711"/>
      <c r="L25" s="711"/>
      <c r="M25" s="14">
        <v>1</v>
      </c>
      <c r="N25" s="711"/>
      <c r="O25" s="711"/>
      <c r="P25" s="711"/>
      <c r="Q25" s="652"/>
    </row>
    <row r="26" spans="1:17" x14ac:dyDescent="0.35">
      <c r="A26" s="299"/>
      <c r="B26" s="504" t="str">
        <f>Language!A435</f>
        <v>Tiempo de cada parada para recoger RS [minutos]</v>
      </c>
      <c r="C26" s="14">
        <v>0.5</v>
      </c>
      <c r="D26" s="14">
        <v>0.5</v>
      </c>
      <c r="E26" s="14">
        <v>0.5</v>
      </c>
      <c r="F26" s="14">
        <v>0.5</v>
      </c>
      <c r="G26" s="14">
        <v>0.5</v>
      </c>
      <c r="H26" s="14">
        <v>0.5</v>
      </c>
      <c r="I26" s="14">
        <v>0.7</v>
      </c>
      <c r="J26" s="711"/>
      <c r="K26" s="711"/>
      <c r="L26" s="711"/>
      <c r="M26" s="14">
        <v>0.7</v>
      </c>
      <c r="N26" s="711"/>
      <c r="O26" s="711"/>
      <c r="P26" s="711"/>
      <c r="Q26" s="652"/>
    </row>
    <row r="27" spans="1:17" x14ac:dyDescent="0.35">
      <c r="A27" s="299"/>
      <c r="B27" s="504" t="str">
        <f>Language!A436</f>
        <v>Numero de paradas requeridas []</v>
      </c>
      <c r="C27" s="711" t="e">
        <f>C19/C25</f>
        <v>#DIV/0!</v>
      </c>
      <c r="D27" s="711" t="e">
        <f t="shared" ref="D27:H27" si="3">D19/D25</f>
        <v>#DIV/0!</v>
      </c>
      <c r="E27" s="711" t="e">
        <f t="shared" si="3"/>
        <v>#DIV/0!</v>
      </c>
      <c r="F27" s="711" t="e">
        <f t="shared" si="3"/>
        <v>#DIV/0!</v>
      </c>
      <c r="G27" s="711" t="e">
        <f t="shared" si="3"/>
        <v>#DIV/0!</v>
      </c>
      <c r="H27" s="711" t="e">
        <f t="shared" si="3"/>
        <v>#DIV/0!</v>
      </c>
      <c r="I27" s="711" t="e">
        <f t="shared" ref="I27" si="4">I19/I25</f>
        <v>#DIV/0!</v>
      </c>
      <c r="J27" s="711"/>
      <c r="K27" s="711"/>
      <c r="L27" s="711"/>
      <c r="M27" s="711" t="e">
        <f t="shared" ref="M27" si="5">M19/M25</f>
        <v>#DIV/0!</v>
      </c>
      <c r="N27" s="711"/>
      <c r="O27" s="711"/>
      <c r="P27" s="711"/>
      <c r="Q27" s="652"/>
    </row>
    <row r="28" spans="1:17" x14ac:dyDescent="0.35">
      <c r="A28" s="299"/>
      <c r="B28" s="504" t="str">
        <f>Language!A437</f>
        <v>Personas por parada [personas]</v>
      </c>
      <c r="C28" s="711" t="e">
        <f t="shared" ref="C28:I28" si="6">C27*HHsize</f>
        <v>#DIV/0!</v>
      </c>
      <c r="D28" s="711" t="e">
        <f t="shared" si="6"/>
        <v>#DIV/0!</v>
      </c>
      <c r="E28" s="711" t="e">
        <f t="shared" si="6"/>
        <v>#DIV/0!</v>
      </c>
      <c r="F28" s="711" t="e">
        <f t="shared" si="6"/>
        <v>#DIV/0!</v>
      </c>
      <c r="G28" s="711" t="e">
        <f t="shared" si="6"/>
        <v>#DIV/0!</v>
      </c>
      <c r="H28" s="711" t="e">
        <f t="shared" si="6"/>
        <v>#DIV/0!</v>
      </c>
      <c r="I28" s="711" t="e">
        <f t="shared" si="6"/>
        <v>#DIV/0!</v>
      </c>
      <c r="J28" s="711"/>
      <c r="K28" s="711"/>
      <c r="L28" s="711"/>
      <c r="M28" s="711" t="e">
        <f>M27*HHsize</f>
        <v>#DIV/0!</v>
      </c>
      <c r="N28" s="711"/>
      <c r="O28" s="711"/>
      <c r="P28" s="711"/>
      <c r="Q28" s="652"/>
    </row>
    <row r="29" spans="1:17" x14ac:dyDescent="0.35">
      <c r="A29" s="299"/>
      <c r="B29" s="504" t="str">
        <f>Language!A438</f>
        <v>Paradas por km [paradas/km]</v>
      </c>
      <c r="C29" s="711" t="e">
        <f>C27/C24</f>
        <v>#DIV/0!</v>
      </c>
      <c r="D29" s="711" t="e">
        <f t="shared" ref="D29:H29" si="7">D27/D24</f>
        <v>#DIV/0!</v>
      </c>
      <c r="E29" s="711" t="e">
        <f t="shared" si="7"/>
        <v>#DIV/0!</v>
      </c>
      <c r="F29" s="711" t="e">
        <f t="shared" si="7"/>
        <v>#DIV/0!</v>
      </c>
      <c r="G29" s="711" t="e">
        <f t="shared" si="7"/>
        <v>#DIV/0!</v>
      </c>
      <c r="H29" s="711" t="e">
        <f t="shared" si="7"/>
        <v>#DIV/0!</v>
      </c>
      <c r="I29" s="711" t="e">
        <f t="shared" ref="I29" si="8">I27/I24</f>
        <v>#DIV/0!</v>
      </c>
      <c r="J29" s="711"/>
      <c r="K29" s="711"/>
      <c r="L29" s="711"/>
      <c r="M29" s="711" t="e">
        <f t="shared" ref="M29" si="9">M27/M24</f>
        <v>#DIV/0!</v>
      </c>
      <c r="N29" s="711"/>
      <c r="O29" s="711"/>
      <c r="P29" s="711"/>
      <c r="Q29" s="652"/>
    </row>
    <row r="30" spans="1:17" x14ac:dyDescent="0.35">
      <c r="A30" s="299"/>
      <c r="B30" s="504" t="str">
        <f>Language!A439</f>
        <v>Distancia promedio entre 2 paradas [km]</v>
      </c>
      <c r="C30" s="714" t="e">
        <f>1/C29</f>
        <v>#DIV/0!</v>
      </c>
      <c r="D30" s="714" t="e">
        <f t="shared" ref="D30:I30" si="10">1/D29</f>
        <v>#DIV/0!</v>
      </c>
      <c r="E30" s="714" t="e">
        <f t="shared" si="10"/>
        <v>#DIV/0!</v>
      </c>
      <c r="F30" s="714" t="e">
        <f t="shared" si="10"/>
        <v>#DIV/0!</v>
      </c>
      <c r="G30" s="714" t="e">
        <f t="shared" si="10"/>
        <v>#DIV/0!</v>
      </c>
      <c r="H30" s="714" t="e">
        <f t="shared" si="10"/>
        <v>#DIV/0!</v>
      </c>
      <c r="I30" s="714" t="e">
        <f t="shared" si="10"/>
        <v>#DIV/0!</v>
      </c>
      <c r="J30" s="711"/>
      <c r="K30" s="711"/>
      <c r="L30" s="711"/>
      <c r="M30" s="714" t="e">
        <f t="shared" ref="M30" si="11">1/M29</f>
        <v>#DIV/0!</v>
      </c>
      <c r="N30" s="711"/>
      <c r="O30" s="711"/>
      <c r="P30" s="711"/>
      <c r="Q30" s="652"/>
    </row>
    <row r="31" spans="1:17" x14ac:dyDescent="0.35">
      <c r="A31" s="299"/>
      <c r="B31" s="504" t="str">
        <f>Language!A440</f>
        <v>Volumen del camión utilizado para la recolección [m3]</v>
      </c>
      <c r="C31" s="715">
        <f>'3) Parametros_modelo'!$C$59</f>
        <v>0</v>
      </c>
      <c r="D31" s="715">
        <f>'3) Parametros_modelo'!$C$59</f>
        <v>0</v>
      </c>
      <c r="E31" s="715">
        <f>'3) Parametros_modelo'!$C$59</f>
        <v>0</v>
      </c>
      <c r="F31" s="715">
        <f>'3) Parametros_modelo'!$C$59</f>
        <v>0</v>
      </c>
      <c r="G31" s="715">
        <f>'3) Parametros_modelo'!$C$59</f>
        <v>0</v>
      </c>
      <c r="H31" s="715">
        <f>'3) Parametros_modelo'!$C$59</f>
        <v>0</v>
      </c>
      <c r="I31" s="715">
        <f>'3) Parametros_modelo'!$C$59</f>
        <v>0</v>
      </c>
      <c r="J31" s="711"/>
      <c r="K31" s="711"/>
      <c r="L31" s="711"/>
      <c r="M31" s="715">
        <f>'3) Parametros_modelo'!$C$59</f>
        <v>0</v>
      </c>
      <c r="N31" s="711"/>
      <c r="O31" s="711"/>
      <c r="P31" s="711"/>
      <c r="Q31" s="652"/>
    </row>
    <row r="32" spans="1:17" x14ac:dyDescent="0.35">
      <c r="A32" s="299"/>
      <c r="B32" s="504" t="str">
        <f>Language!A441</f>
        <v>Numero de paradas de recolección por viaje [paradas/viaje]</v>
      </c>
      <c r="C32" s="711" t="e">
        <f>CEILING(C31/((C25*HHsize*daycapgeneration*daysofgeneration)/('3) Parametros_modelo'!$C$62*'3) Parametros_modelo'!$C$27*'3) Parametros_modelo'!$C$61)),1)</f>
        <v>#DIV/0!</v>
      </c>
      <c r="D32" s="711" t="e">
        <f>CEILING(D31/((D25*HHsize*daycapgeneration*daysofgeneration)/('3) Parametros_modelo'!$C$62*'3) Parametros_modelo'!$C$27*'3) Parametros_modelo'!$C$61)),1)</f>
        <v>#DIV/0!</v>
      </c>
      <c r="E32" s="711" t="e">
        <f>CEILING(E31/((E25*HHsize*daycapgeneration*daysofgeneration)/('3) Parametros_modelo'!$C$62*'3) Parametros_modelo'!$C$27*'3) Parametros_modelo'!$C$61)),1)</f>
        <v>#DIV/0!</v>
      </c>
      <c r="F32" s="711" t="e">
        <f>CEILING(F31/((F25*HHsize*daycapgeneration*daysofgeneration)/('3) Parametros_modelo'!$C$62*'3) Parametros_modelo'!$C$27*'3) Parametros_modelo'!$C$61)),1)</f>
        <v>#DIV/0!</v>
      </c>
      <c r="G32" s="711" t="e">
        <f>CEILING(G31/((G25*HHsize*daycapgeneration*daysofgeneration)/('3) Parametros_modelo'!$C$62*'3) Parametros_modelo'!$C$27*'3) Parametros_modelo'!$C$61)),1)</f>
        <v>#DIV/0!</v>
      </c>
      <c r="H32" s="711" t="e">
        <f>CEILING(H31/((H25*HHsize*daycapgeneration*daysofgeneration)/('3) Parametros_modelo'!$C$62*'3) Parametros_modelo'!$C$27*'3) Parametros_modelo'!$C$61)),1)</f>
        <v>#DIV/0!</v>
      </c>
      <c r="I32" s="711" t="e">
        <f>CEILING(I31/((I25*HHsize*daycapgeneration*daysofgeneration)/('3) Parametros_modelo'!$C$62*'3) Parametros_modelo'!$C$27*'3) Parametros_modelo'!$C$61)),1)</f>
        <v>#DIV/0!</v>
      </c>
      <c r="J32" s="711"/>
      <c r="K32" s="711"/>
      <c r="L32" s="711"/>
      <c r="M32" s="711" t="e">
        <f>CEILING(M31/((M25*HHsize*daycapgeneration*daysofgeneration)/('3) Parametros_modelo'!$C$62*'3) Parametros_modelo'!$C$27*'3) Parametros_modelo'!$C$61)),1)</f>
        <v>#DIV/0!</v>
      </c>
      <c r="N32" s="711"/>
      <c r="O32" s="711"/>
      <c r="P32" s="711"/>
      <c r="Q32" s="652"/>
    </row>
    <row r="33" spans="1:17" x14ac:dyDescent="0.35">
      <c r="A33" s="299"/>
      <c r="B33" s="504" t="str">
        <f>Language!A442</f>
        <v>Viajes necesarios por semana [viaje/semana]</v>
      </c>
      <c r="C33" s="711" t="e">
        <f t="shared" ref="C33:I33" si="12">CEILING(C27*tasarecoleccion/C32,1)</f>
        <v>#DIV/0!</v>
      </c>
      <c r="D33" s="711" t="e">
        <f t="shared" si="12"/>
        <v>#DIV/0!</v>
      </c>
      <c r="E33" s="711" t="e">
        <f t="shared" si="12"/>
        <v>#DIV/0!</v>
      </c>
      <c r="F33" s="711" t="e">
        <f t="shared" si="12"/>
        <v>#DIV/0!</v>
      </c>
      <c r="G33" s="711" t="e">
        <f t="shared" si="12"/>
        <v>#DIV/0!</v>
      </c>
      <c r="H33" s="711" t="e">
        <f t="shared" si="12"/>
        <v>#DIV/0!</v>
      </c>
      <c r="I33" s="711" t="e">
        <f t="shared" si="12"/>
        <v>#DIV/0!</v>
      </c>
      <c r="J33" s="711"/>
      <c r="K33" s="711"/>
      <c r="L33" s="711"/>
      <c r="M33" s="711" t="e">
        <f>CEILING(M27*tasarecoleccion/M32,1)</f>
        <v>#DIV/0!</v>
      </c>
      <c r="N33" s="711"/>
      <c r="O33" s="711"/>
      <c r="P33" s="711"/>
      <c r="Q33" s="652"/>
    </row>
    <row r="34" spans="1:17" x14ac:dyDescent="0.35">
      <c r="A34" s="299"/>
      <c r="B34" s="504" t="str">
        <f>Language!A443</f>
        <v>Distancia promedia recorrida para cada viaje [km]</v>
      </c>
      <c r="C34" s="716" t="e">
        <f>C32*C30</f>
        <v>#DIV/0!</v>
      </c>
      <c r="D34" s="716" t="e">
        <f t="shared" ref="D34:H34" si="13">D32*D30</f>
        <v>#DIV/0!</v>
      </c>
      <c r="E34" s="716" t="e">
        <f t="shared" si="13"/>
        <v>#DIV/0!</v>
      </c>
      <c r="F34" s="716" t="e">
        <f t="shared" si="13"/>
        <v>#DIV/0!</v>
      </c>
      <c r="G34" s="716" t="e">
        <f t="shared" si="13"/>
        <v>#DIV/0!</v>
      </c>
      <c r="H34" s="716" t="e">
        <f t="shared" si="13"/>
        <v>#DIV/0!</v>
      </c>
      <c r="I34" s="716" t="e">
        <f t="shared" ref="I34" si="14">I32*I30</f>
        <v>#DIV/0!</v>
      </c>
      <c r="J34" s="711"/>
      <c r="K34" s="711"/>
      <c r="L34" s="711"/>
      <c r="M34" s="716" t="e">
        <f t="shared" ref="M34" si="15">M32*M30</f>
        <v>#DIV/0!</v>
      </c>
      <c r="N34" s="711"/>
      <c r="O34" s="711"/>
      <c r="P34" s="711"/>
      <c r="Q34" s="652"/>
    </row>
    <row r="35" spans="1:17" x14ac:dyDescent="0.35">
      <c r="A35" s="299"/>
      <c r="B35" s="504" t="str">
        <f>Language!A444</f>
        <v>Distancia total recorrida por semana [km/semana]</v>
      </c>
      <c r="C35" s="711" t="e">
        <f>C34*C33</f>
        <v>#DIV/0!</v>
      </c>
      <c r="D35" s="711" t="e">
        <f t="shared" ref="D35:I35" si="16">D34*D33</f>
        <v>#DIV/0!</v>
      </c>
      <c r="E35" s="711" t="e">
        <f t="shared" si="16"/>
        <v>#DIV/0!</v>
      </c>
      <c r="F35" s="711" t="e">
        <f t="shared" si="16"/>
        <v>#DIV/0!</v>
      </c>
      <c r="G35" s="711" t="e">
        <f t="shared" si="16"/>
        <v>#DIV/0!</v>
      </c>
      <c r="H35" s="711" t="e">
        <f t="shared" si="16"/>
        <v>#DIV/0!</v>
      </c>
      <c r="I35" s="711" t="e">
        <f t="shared" si="16"/>
        <v>#DIV/0!</v>
      </c>
      <c r="J35" s="711"/>
      <c r="K35" s="711"/>
      <c r="L35" s="711"/>
      <c r="M35" s="711" t="e">
        <f t="shared" ref="M35" si="17">M34*M33</f>
        <v>#DIV/0!</v>
      </c>
      <c r="N35" s="711"/>
      <c r="O35" s="711"/>
      <c r="P35" s="711"/>
      <c r="Q35" s="652"/>
    </row>
    <row r="36" spans="1:17" x14ac:dyDescent="0.35">
      <c r="A36" s="299"/>
      <c r="B36" s="504" t="str">
        <f>Language!A445</f>
        <v>Tiempo total necesario para recogida de RS [minutos]</v>
      </c>
      <c r="C36" s="711" t="e">
        <f>C32*C26</f>
        <v>#DIV/0!</v>
      </c>
      <c r="D36" s="711" t="e">
        <f t="shared" ref="D36:H36" si="18">D32*D26</f>
        <v>#DIV/0!</v>
      </c>
      <c r="E36" s="711" t="e">
        <f t="shared" si="18"/>
        <v>#DIV/0!</v>
      </c>
      <c r="F36" s="711" t="e">
        <f t="shared" si="18"/>
        <v>#DIV/0!</v>
      </c>
      <c r="G36" s="711" t="e">
        <f t="shared" si="18"/>
        <v>#DIV/0!</v>
      </c>
      <c r="H36" s="711" t="e">
        <f t="shared" si="18"/>
        <v>#DIV/0!</v>
      </c>
      <c r="I36" s="711" t="e">
        <f t="shared" ref="I36" si="19">I32*I26</f>
        <v>#DIV/0!</v>
      </c>
      <c r="J36" s="711"/>
      <c r="K36" s="711"/>
      <c r="L36" s="711"/>
      <c r="M36" s="711" t="e">
        <f t="shared" ref="M36" si="20">M32*M26</f>
        <v>#DIV/0!</v>
      </c>
      <c r="N36" s="711"/>
      <c r="O36" s="711"/>
      <c r="P36" s="711"/>
      <c r="Q36" s="652"/>
    </row>
    <row r="37" spans="1:17" x14ac:dyDescent="0.35">
      <c r="A37" s="299"/>
      <c r="B37" s="504" t="str">
        <f>Language!A446</f>
        <v>Tiempo necesario por viaje para recorrido en zona urbana [horas]</v>
      </c>
      <c r="C37" s="714" t="e">
        <f>C34/'3) Parametros_modelo'!$C$66</f>
        <v>#DIV/0!</v>
      </c>
      <c r="D37" s="714" t="e">
        <f>D34/'3) Parametros_modelo'!$C$66</f>
        <v>#DIV/0!</v>
      </c>
      <c r="E37" s="714" t="e">
        <f>E34/'3) Parametros_modelo'!$C$66</f>
        <v>#DIV/0!</v>
      </c>
      <c r="F37" s="714" t="e">
        <f>F34/'3) Parametros_modelo'!$C$66</f>
        <v>#DIV/0!</v>
      </c>
      <c r="G37" s="714" t="e">
        <f>G34/'3) Parametros_modelo'!$C$66</f>
        <v>#DIV/0!</v>
      </c>
      <c r="H37" s="714" t="e">
        <f>H34/'3) Parametros_modelo'!$C$66</f>
        <v>#DIV/0!</v>
      </c>
      <c r="I37" s="714" t="e">
        <f>I34/'3) Parametros_modelo'!$C$66</f>
        <v>#DIV/0!</v>
      </c>
      <c r="J37" s="711"/>
      <c r="K37" s="711"/>
      <c r="L37" s="711"/>
      <c r="M37" s="714" t="e">
        <f>M34/'3) Parametros_modelo'!$C$66</f>
        <v>#DIV/0!</v>
      </c>
      <c r="N37" s="711"/>
      <c r="O37" s="711"/>
      <c r="P37" s="711"/>
      <c r="Q37" s="652"/>
    </row>
    <row r="38" spans="1:17" x14ac:dyDescent="0.35">
      <c r="A38" s="299"/>
      <c r="B38" s="504" t="str">
        <f>Language!A447</f>
        <v>Tiempo necesario por viaje para recorrido en zona urbana [minutos]</v>
      </c>
      <c r="C38" s="711" t="e">
        <f>C37*60</f>
        <v>#DIV/0!</v>
      </c>
      <c r="D38" s="711" t="e">
        <f t="shared" ref="D38:I38" si="21">D37*60</f>
        <v>#DIV/0!</v>
      </c>
      <c r="E38" s="711" t="e">
        <f t="shared" si="21"/>
        <v>#DIV/0!</v>
      </c>
      <c r="F38" s="711" t="e">
        <f t="shared" si="21"/>
        <v>#DIV/0!</v>
      </c>
      <c r="G38" s="711" t="e">
        <f t="shared" si="21"/>
        <v>#DIV/0!</v>
      </c>
      <c r="H38" s="711" t="e">
        <f t="shared" si="21"/>
        <v>#DIV/0!</v>
      </c>
      <c r="I38" s="711" t="e">
        <f t="shared" si="21"/>
        <v>#DIV/0!</v>
      </c>
      <c r="J38" s="711"/>
      <c r="K38" s="711"/>
      <c r="L38" s="711"/>
      <c r="M38" s="711" t="e">
        <f t="shared" ref="M38" si="22">M37*60</f>
        <v>#DIV/0!</v>
      </c>
      <c r="N38" s="711"/>
      <c r="O38" s="711"/>
      <c r="P38" s="711"/>
      <c r="Q38" s="652"/>
    </row>
    <row r="39" spans="1:17" x14ac:dyDescent="0.35">
      <c r="A39" s="299"/>
      <c r="B39" s="504" t="str">
        <f>Language!A448</f>
        <v>Distancia [km]</v>
      </c>
      <c r="C39" s="714">
        <f>'3) Parametros_modelo'!$C$67</f>
        <v>0.2</v>
      </c>
      <c r="D39" s="714">
        <f>'3) Parametros_modelo'!$C$67</f>
        <v>0.2</v>
      </c>
      <c r="E39" s="714">
        <f>'3) Parametros_modelo'!$C$67</f>
        <v>0.2</v>
      </c>
      <c r="F39" s="714">
        <f>'3) Parametros_modelo'!$C$67</f>
        <v>0.2</v>
      </c>
      <c r="G39" s="714">
        <f>'3) Parametros_modelo'!$C$67</f>
        <v>0.2</v>
      </c>
      <c r="H39" s="714">
        <f>'3) Parametros_modelo'!$C$67</f>
        <v>0.2</v>
      </c>
      <c r="I39" s="714">
        <f>'3) Parametros_modelo'!$C$67</f>
        <v>0.2</v>
      </c>
      <c r="J39" s="711"/>
      <c r="K39" s="711"/>
      <c r="L39" s="711"/>
      <c r="M39" s="714">
        <f>'3) Parametros_modelo'!$C$67</f>
        <v>0.2</v>
      </c>
      <c r="N39" s="711"/>
      <c r="O39" s="711"/>
      <c r="P39" s="711"/>
      <c r="Q39" s="652"/>
    </row>
    <row r="40" spans="1:17" x14ac:dyDescent="0.35">
      <c r="A40" s="299"/>
      <c r="B40" s="504" t="str">
        <f>Language!A449</f>
        <v>Tiempo necesario fuera de la zona urbana ida y vuelta [horas]</v>
      </c>
      <c r="C40" s="714" t="e">
        <f>C39*2/'3) Parametros_modelo'!$C$66</f>
        <v>#DIV/0!</v>
      </c>
      <c r="D40" s="714" t="e">
        <f>D39*2/'3) Parametros_modelo'!$C$66</f>
        <v>#DIV/0!</v>
      </c>
      <c r="E40" s="714" t="e">
        <f>E39*2/'3) Parametros_modelo'!$C$66</f>
        <v>#DIV/0!</v>
      </c>
      <c r="F40" s="714" t="e">
        <f>F39*2/'3) Parametros_modelo'!$C$66</f>
        <v>#DIV/0!</v>
      </c>
      <c r="G40" s="714" t="e">
        <f>G39*2/'3) Parametros_modelo'!$C$66</f>
        <v>#DIV/0!</v>
      </c>
      <c r="H40" s="714" t="e">
        <f>H39*2/'3) Parametros_modelo'!$C$66</f>
        <v>#DIV/0!</v>
      </c>
      <c r="I40" s="714" t="e">
        <f>I39*2/'3) Parametros_modelo'!$C$66</f>
        <v>#DIV/0!</v>
      </c>
      <c r="J40" s="711"/>
      <c r="K40" s="711"/>
      <c r="L40" s="711"/>
      <c r="M40" s="714" t="e">
        <f>M39*2/'3) Parametros_modelo'!$C$66</f>
        <v>#DIV/0!</v>
      </c>
      <c r="N40" s="711"/>
      <c r="O40" s="711"/>
      <c r="P40" s="711"/>
      <c r="Q40" s="652"/>
    </row>
    <row r="41" spans="1:17" x14ac:dyDescent="0.35">
      <c r="A41" s="299"/>
      <c r="B41" s="504" t="str">
        <f>Language!A450</f>
        <v>Tiempo necesario fuera de la zona urbana ida y vuelta [minutos]</v>
      </c>
      <c r="C41" s="711" t="e">
        <f>C40*60</f>
        <v>#DIV/0!</v>
      </c>
      <c r="D41" s="711" t="e">
        <f t="shared" ref="D41:I41" si="23">D40*60</f>
        <v>#DIV/0!</v>
      </c>
      <c r="E41" s="711" t="e">
        <f t="shared" si="23"/>
        <v>#DIV/0!</v>
      </c>
      <c r="F41" s="711" t="e">
        <f t="shared" si="23"/>
        <v>#DIV/0!</v>
      </c>
      <c r="G41" s="711" t="e">
        <f t="shared" si="23"/>
        <v>#DIV/0!</v>
      </c>
      <c r="H41" s="711" t="e">
        <f t="shared" si="23"/>
        <v>#DIV/0!</v>
      </c>
      <c r="I41" s="711" t="e">
        <f t="shared" si="23"/>
        <v>#DIV/0!</v>
      </c>
      <c r="J41" s="711"/>
      <c r="K41" s="711"/>
      <c r="L41" s="711"/>
      <c r="M41" s="711" t="e">
        <f t="shared" ref="M41" si="24">M40*60</f>
        <v>#DIV/0!</v>
      </c>
      <c r="N41" s="711"/>
      <c r="O41" s="711"/>
      <c r="P41" s="711"/>
      <c r="Q41" s="717"/>
    </row>
    <row r="42" spans="1:17" x14ac:dyDescent="0.35">
      <c r="A42" s="299"/>
      <c r="B42" s="504" t="str">
        <f>Language!A451</f>
        <v>Tiempo total por viaje [minutos/viaje]</v>
      </c>
      <c r="C42" s="718" t="e">
        <f>C41+C38+C36+'3) Parametros_modelo'!$C$69</f>
        <v>#DIV/0!</v>
      </c>
      <c r="D42" s="718" t="e">
        <f>D41+D38+D36+'3) Parametros_modelo'!$C$69</f>
        <v>#DIV/0!</v>
      </c>
      <c r="E42" s="718" t="e">
        <f>E41+E38+E36+'3) Parametros_modelo'!$C$69</f>
        <v>#DIV/0!</v>
      </c>
      <c r="F42" s="718" t="e">
        <f>F41+F38+F36+'3) Parametros_modelo'!$C$69</f>
        <v>#DIV/0!</v>
      </c>
      <c r="G42" s="718" t="e">
        <f>G41+G38+G36+'3) Parametros_modelo'!$C$69</f>
        <v>#DIV/0!</v>
      </c>
      <c r="H42" s="718" t="e">
        <f>H41+H38+H36+'3) Parametros_modelo'!$C$69</f>
        <v>#DIV/0!</v>
      </c>
      <c r="I42" s="718" t="e">
        <f>I41+I38+I36+'3) Parametros_modelo'!$C$69</f>
        <v>#DIV/0!</v>
      </c>
      <c r="J42" s="718"/>
      <c r="K42" s="718"/>
      <c r="L42" s="718"/>
      <c r="M42" s="718" t="e">
        <f>M41+M38+M36+'3) Parametros_modelo'!$C$69</f>
        <v>#DIV/0!</v>
      </c>
      <c r="N42" s="711"/>
      <c r="O42" s="711"/>
      <c r="P42" s="711"/>
      <c r="Q42" s="717"/>
    </row>
    <row r="43" spans="1:17" x14ac:dyDescent="0.35">
      <c r="A43" s="299"/>
      <c r="B43" s="504" t="str">
        <f>Language!A452</f>
        <v>Tiempo total por viaje [horas/viaje]</v>
      </c>
      <c r="C43" s="719" t="e">
        <f>C42/60</f>
        <v>#DIV/0!</v>
      </c>
      <c r="D43" s="719" t="e">
        <f t="shared" ref="D43:I43" si="25">D42/60</f>
        <v>#DIV/0!</v>
      </c>
      <c r="E43" s="719" t="e">
        <f t="shared" si="25"/>
        <v>#DIV/0!</v>
      </c>
      <c r="F43" s="719" t="e">
        <f t="shared" si="25"/>
        <v>#DIV/0!</v>
      </c>
      <c r="G43" s="719" t="e">
        <f t="shared" si="25"/>
        <v>#DIV/0!</v>
      </c>
      <c r="H43" s="719" t="e">
        <f t="shared" si="25"/>
        <v>#DIV/0!</v>
      </c>
      <c r="I43" s="719" t="e">
        <f t="shared" si="25"/>
        <v>#DIV/0!</v>
      </c>
      <c r="J43" s="720"/>
      <c r="K43" s="720"/>
      <c r="L43" s="720"/>
      <c r="M43" s="719" t="e">
        <f t="shared" ref="M43" si="26">M42/60</f>
        <v>#DIV/0!</v>
      </c>
      <c r="N43" s="711"/>
      <c r="O43" s="711"/>
      <c r="P43" s="711"/>
      <c r="Q43" s="717"/>
    </row>
    <row r="44" spans="1:17" x14ac:dyDescent="0.35">
      <c r="A44" s="299"/>
      <c r="B44" s="504" t="str">
        <f>Language!A453</f>
        <v>Tiempo necesario para ida y vuelta al parqueo [h]</v>
      </c>
      <c r="C44" s="715" t="e">
        <f>2*'3) Parametros_modelo'!$C$68/'3) Parametros_modelo'!$C$66</f>
        <v>#DIV/0!</v>
      </c>
      <c r="D44" s="715" t="e">
        <f>2*'3) Parametros_modelo'!$C$68/'3) Parametros_modelo'!$C$66</f>
        <v>#DIV/0!</v>
      </c>
      <c r="E44" s="715" t="e">
        <f>2*'3) Parametros_modelo'!$C$68/'3) Parametros_modelo'!$C$66</f>
        <v>#DIV/0!</v>
      </c>
      <c r="F44" s="715" t="e">
        <f>2*'3) Parametros_modelo'!$C$68/'3) Parametros_modelo'!$C$66</f>
        <v>#DIV/0!</v>
      </c>
      <c r="G44" s="715" t="e">
        <f>2*'3) Parametros_modelo'!$C$68/'3) Parametros_modelo'!$C$66</f>
        <v>#DIV/0!</v>
      </c>
      <c r="H44" s="715" t="e">
        <f>2*'3) Parametros_modelo'!$C$68/'3) Parametros_modelo'!$C$66</f>
        <v>#DIV/0!</v>
      </c>
      <c r="I44" s="715" t="e">
        <f>2*'3) Parametros_modelo'!$C$68/'3) Parametros_modelo'!$C$66</f>
        <v>#DIV/0!</v>
      </c>
      <c r="J44" s="711"/>
      <c r="K44" s="711"/>
      <c r="L44" s="711"/>
      <c r="M44" s="715" t="e">
        <f>2*'3) Parametros_modelo'!$C$68/'3) Parametros_modelo'!$C$66</f>
        <v>#DIV/0!</v>
      </c>
      <c r="N44" s="711"/>
      <c r="O44" s="711"/>
      <c r="P44" s="711"/>
      <c r="Q44" s="717"/>
    </row>
    <row r="45" spans="1:17" x14ac:dyDescent="0.35">
      <c r="A45" s="299"/>
      <c r="B45" s="504" t="str">
        <f>Language!A454</f>
        <v>Tasa de disponibilidad de tiempo de equipo de recolección [%]</v>
      </c>
      <c r="C45" s="16">
        <v>0.9</v>
      </c>
      <c r="D45" s="16">
        <v>0.9</v>
      </c>
      <c r="E45" s="16">
        <v>0.9</v>
      </c>
      <c r="F45" s="16">
        <v>0.9</v>
      </c>
      <c r="G45" s="16">
        <v>0.9</v>
      </c>
      <c r="H45" s="16">
        <v>0.9</v>
      </c>
      <c r="I45" s="16">
        <v>0.9</v>
      </c>
      <c r="J45" s="711"/>
      <c r="K45" s="711"/>
      <c r="L45" s="711"/>
      <c r="M45" s="16">
        <v>0.9</v>
      </c>
      <c r="N45" s="711"/>
      <c r="O45" s="711"/>
      <c r="P45" s="711"/>
      <c r="Q45" s="717"/>
    </row>
    <row r="46" spans="1:17" x14ac:dyDescent="0.35">
      <c r="A46" s="299"/>
      <c r="B46" s="504" t="str">
        <f>Language!A455</f>
        <v>Cantidad de viajes por turnos de trabajo diario [viajes]</v>
      </c>
      <c r="C46" s="539" t="e">
        <f>FLOOR(((C45*'3) Parametros_modelo'!$C$86)-C44)/C43,1)</f>
        <v>#DIV/0!</v>
      </c>
      <c r="D46" s="539" t="e">
        <f>FLOOR(((D45*'3) Parametros_modelo'!$C$86)-D44)/D43,1)</f>
        <v>#DIV/0!</v>
      </c>
      <c r="E46" s="539" t="e">
        <f>FLOOR(((E45*'3) Parametros_modelo'!$C$86)-E44)/E43,1)</f>
        <v>#DIV/0!</v>
      </c>
      <c r="F46" s="539" t="e">
        <f>FLOOR(((F45*'3) Parametros_modelo'!$C$86)-F44)/F43,1)</f>
        <v>#DIV/0!</v>
      </c>
      <c r="G46" s="539" t="e">
        <f>FLOOR(((G45*'3) Parametros_modelo'!$C$86)-G44)/G43,1)</f>
        <v>#DIV/0!</v>
      </c>
      <c r="H46" s="539" t="e">
        <f>FLOOR(((H45*'3) Parametros_modelo'!$C$86)-H44)/H43,1)</f>
        <v>#DIV/0!</v>
      </c>
      <c r="I46" s="539" t="e">
        <f>FLOOR(((I45*'3) Parametros_modelo'!$C$86)-I44)/I43,1)</f>
        <v>#DIV/0!</v>
      </c>
      <c r="J46" s="711"/>
      <c r="K46" s="711"/>
      <c r="L46" s="711"/>
      <c r="M46" s="539" t="e">
        <f>FLOOR(((M45*'3) Parametros_modelo'!$C$86)-M44)/M43,1)</f>
        <v>#DIV/0!</v>
      </c>
      <c r="N46" s="711"/>
      <c r="O46" s="711"/>
      <c r="P46" s="711"/>
      <c r="Q46" s="717"/>
    </row>
    <row r="47" spans="1:17" x14ac:dyDescent="0.35">
      <c r="A47" s="299"/>
      <c r="B47" s="504" t="str">
        <f>Language!A456</f>
        <v>Cantidad de viajes por turnos de trabajo diario NO REDONDEADO [viajes]</v>
      </c>
      <c r="C47" s="715" t="e">
        <f>((C45*'3) Parametros_modelo'!$C$86)-C44)/C43</f>
        <v>#DIV/0!</v>
      </c>
      <c r="D47" s="715" t="e">
        <f>((D45*'3) Parametros_modelo'!$C$86)-D44)/D43</f>
        <v>#DIV/0!</v>
      </c>
      <c r="E47" s="715" t="e">
        <f>((E45*'3) Parametros_modelo'!$C$86)-E44)/E43</f>
        <v>#DIV/0!</v>
      </c>
      <c r="F47" s="715" t="e">
        <f>((F45*'3) Parametros_modelo'!$C$86)-F44)/F43</f>
        <v>#DIV/0!</v>
      </c>
      <c r="G47" s="715" t="e">
        <f>((G45*'3) Parametros_modelo'!$C$86)-G44)/G43</f>
        <v>#DIV/0!</v>
      </c>
      <c r="H47" s="715" t="e">
        <f>((H45*'3) Parametros_modelo'!$C$86)-H44)/H43</f>
        <v>#DIV/0!</v>
      </c>
      <c r="I47" s="715" t="e">
        <f>((I45*'3) Parametros_modelo'!$C$86)-I44)/I43</f>
        <v>#DIV/0!</v>
      </c>
      <c r="J47" s="711"/>
      <c r="K47" s="711"/>
      <c r="L47" s="711"/>
      <c r="M47" s="715" t="e">
        <f>((M45*'3) Parametros_modelo'!$C$86)-M44)/M43</f>
        <v>#DIV/0!</v>
      </c>
      <c r="N47" s="711"/>
      <c r="O47" s="711"/>
      <c r="P47" s="711"/>
      <c r="Q47" s="717"/>
    </row>
    <row r="48" spans="1:17" x14ac:dyDescent="0.35">
      <c r="A48" s="299"/>
      <c r="B48" s="504" t="str">
        <f>Language!A457</f>
        <v>Viajes por semana laboral posible por camión [viajes/semana]</v>
      </c>
      <c r="C48" s="718" t="e">
        <f>C47*daysofwork</f>
        <v>#DIV/0!</v>
      </c>
      <c r="D48" s="718" t="e">
        <f t="shared" ref="D48:I48" si="27">D47*daysofwork</f>
        <v>#DIV/0!</v>
      </c>
      <c r="E48" s="718" t="e">
        <f t="shared" si="27"/>
        <v>#DIV/0!</v>
      </c>
      <c r="F48" s="718" t="e">
        <f t="shared" si="27"/>
        <v>#DIV/0!</v>
      </c>
      <c r="G48" s="718" t="e">
        <f t="shared" si="27"/>
        <v>#DIV/0!</v>
      </c>
      <c r="H48" s="718" t="e">
        <f t="shared" si="27"/>
        <v>#DIV/0!</v>
      </c>
      <c r="I48" s="718" t="e">
        <f t="shared" si="27"/>
        <v>#DIV/0!</v>
      </c>
      <c r="J48" s="711"/>
      <c r="K48" s="711"/>
      <c r="L48" s="711"/>
      <c r="M48" s="718" t="e">
        <f>M47*daysofwork</f>
        <v>#DIV/0!</v>
      </c>
      <c r="N48" s="711"/>
      <c r="O48" s="711"/>
      <c r="P48" s="711"/>
      <c r="Q48" s="717"/>
    </row>
    <row r="49" spans="1:18" ht="29" x14ac:dyDescent="0.35">
      <c r="A49" s="299"/>
      <c r="B49" s="504" t="str">
        <f>Language!A458</f>
        <v>Cantidad de camiones de recolección necesarios [camiones]
Aplica para semana y horario laboral de 1 persona</v>
      </c>
      <c r="C49" s="718" t="str">
        <f>IF('3) Parametros_modelo'!$C$52=Language!$A$46,CEILING(C33/C48,1),"")</f>
        <v/>
      </c>
      <c r="D49" s="718" t="str">
        <f>IF('3) Parametros_modelo'!$C$52=Language!$A$46,CEILING(D33/D48,1),"")</f>
        <v/>
      </c>
      <c r="E49" s="718" t="str">
        <f>IF('3) Parametros_modelo'!$C$52=Language!$A$46,CEILING(E33/E48,1),"")</f>
        <v/>
      </c>
      <c r="F49" s="718" t="str">
        <f>IF('3) Parametros_modelo'!$C$52=Language!$A$46,CEILING(F33/F48,1),"")</f>
        <v/>
      </c>
      <c r="G49" s="718" t="str">
        <f>IF('3) Parametros_modelo'!$C$52=Language!$A$46,CEILING(G33/G48,1),"")</f>
        <v/>
      </c>
      <c r="H49" s="718" t="str">
        <f>IF('3) Parametros_modelo'!$C$52=Language!$A$46,CEILING(H33/H48,1),"")</f>
        <v/>
      </c>
      <c r="I49" s="718" t="str">
        <f>IF('3) Parametros_modelo'!$C$52=Language!$A$46,CEILING(I33/I48,1),"")</f>
        <v/>
      </c>
      <c r="J49" s="711"/>
      <c r="K49" s="711"/>
      <c r="L49" s="711"/>
      <c r="M49" s="718" t="str">
        <f>IF('3) Parametros_modelo'!$C$52=Language!$A$46,CEILING(M33/M48,1),"")</f>
        <v/>
      </c>
      <c r="N49" s="711"/>
      <c r="O49" s="711"/>
      <c r="P49" s="711"/>
      <c r="Q49" s="717"/>
    </row>
    <row r="50" spans="1:18" x14ac:dyDescent="0.35">
      <c r="A50" s="299"/>
      <c r="B50" s="504" t="str">
        <f>Language!A459</f>
        <v>Cantidad de camiones de recolección necesarios NO REDONDEADO [camiones]</v>
      </c>
      <c r="C50" s="718" t="e">
        <f>C33/C48</f>
        <v>#DIV/0!</v>
      </c>
      <c r="D50" s="718" t="e">
        <f t="shared" ref="D50:I50" si="28">D33/D48</f>
        <v>#DIV/0!</v>
      </c>
      <c r="E50" s="718" t="e">
        <f t="shared" si="28"/>
        <v>#DIV/0!</v>
      </c>
      <c r="F50" s="718" t="e">
        <f t="shared" si="28"/>
        <v>#DIV/0!</v>
      </c>
      <c r="G50" s="718" t="e">
        <f t="shared" si="28"/>
        <v>#DIV/0!</v>
      </c>
      <c r="H50" s="718" t="e">
        <f t="shared" si="28"/>
        <v>#DIV/0!</v>
      </c>
      <c r="I50" s="718" t="e">
        <f t="shared" si="28"/>
        <v>#DIV/0!</v>
      </c>
      <c r="J50" s="711"/>
      <c r="K50" s="711"/>
      <c r="L50" s="711"/>
      <c r="M50" s="718" t="e">
        <f>M33/M48</f>
        <v>#DIV/0!</v>
      </c>
      <c r="N50" s="711"/>
      <c r="O50" s="711"/>
      <c r="P50" s="711"/>
      <c r="Q50" s="717"/>
    </row>
    <row r="51" spans="1:18" x14ac:dyDescent="0.35">
      <c r="A51" s="299"/>
      <c r="B51" s="504" t="str">
        <f>Language!A460</f>
        <v>Tasa de indisponibilidad de camiones de recolección [%]</v>
      </c>
      <c r="C51" s="16">
        <v>0.05</v>
      </c>
      <c r="D51" s="16">
        <v>0.05</v>
      </c>
      <c r="E51" s="16">
        <v>0.05</v>
      </c>
      <c r="F51" s="16">
        <v>0.05</v>
      </c>
      <c r="G51" s="16">
        <v>0.05</v>
      </c>
      <c r="H51" s="16">
        <v>0.05</v>
      </c>
      <c r="I51" s="16">
        <v>0.05</v>
      </c>
      <c r="J51" s="711"/>
      <c r="K51" s="711"/>
      <c r="L51" s="711"/>
      <c r="M51" s="16">
        <v>0.05</v>
      </c>
      <c r="N51" s="711"/>
      <c r="O51" s="711"/>
      <c r="P51" s="711"/>
      <c r="Q51" s="717"/>
    </row>
    <row r="52" spans="1:18" ht="29" x14ac:dyDescent="0.35">
      <c r="A52" s="299"/>
      <c r="B52" s="504" t="str">
        <f>Language!A461</f>
        <v>Cantidad de camiones de recolección necesarios considerando incremento de precaución y la posibilidad de dos turnos y de laborar los sábados o domingos [camiones]</v>
      </c>
      <c r="C52" s="503" t="str">
        <f>IF('3) Parametros_modelo'!$C$52=Language!$A$46,ROUNDUP(C50*(1+C51)/'3) Parametros_modelo'!$C$94,0),"")</f>
        <v/>
      </c>
      <c r="D52" s="503" t="str">
        <f>IF('3) Parametros_modelo'!$C$52=Language!$A$46,ROUNDUP(D50*(1+D51)/'3) Parametros_modelo'!$C$94,0),"")</f>
        <v/>
      </c>
      <c r="E52" s="503" t="str">
        <f>IF('3) Parametros_modelo'!$C$52=Language!$A$46,ROUNDUP(E50*(1+E51)/'3) Parametros_modelo'!$C$94,0),"")</f>
        <v/>
      </c>
      <c r="F52" s="503" t="str">
        <f>IF('3) Parametros_modelo'!$C$52=Language!$A$46,ROUNDUP(F50*(1+F51)/'3) Parametros_modelo'!$C$94,0),"")</f>
        <v/>
      </c>
      <c r="G52" s="503" t="str">
        <f>IF('3) Parametros_modelo'!$C$52=Language!$A$46,ROUNDUP(G50*(1+G51)/'3) Parametros_modelo'!$C$94,0),"")</f>
        <v/>
      </c>
      <c r="H52" s="503" t="str">
        <f>IF('3) Parametros_modelo'!$C$52=Language!$A$46,ROUNDUP(H50*(1+H51)/'3) Parametros_modelo'!$C$94,0),"")</f>
        <v/>
      </c>
      <c r="I52" s="503" t="str">
        <f>IF('3) Parametros_modelo'!$C$52=Language!$A$46,ROUNDUP(I50*(1+I51)/'3) Parametros_modelo'!$C$94,0),"")</f>
        <v/>
      </c>
      <c r="J52" s="711"/>
      <c r="K52" s="711"/>
      <c r="L52" s="711"/>
      <c r="M52" s="503" t="str">
        <f>IF('3) Parametros_modelo'!$C$52=Language!$A$46,ROUNDUP(M50*(1+M51)/'3) Parametros_modelo'!$C$94,0),"")</f>
        <v/>
      </c>
      <c r="N52" s="711"/>
      <c r="O52" s="711"/>
      <c r="P52" s="711"/>
      <c r="Q52" s="717"/>
      <c r="R52" s="506"/>
    </row>
    <row r="53" spans="1:18" x14ac:dyDescent="0.35">
      <c r="A53" s="299"/>
      <c r="B53" s="504" t="str">
        <f>Language!A462</f>
        <v>Costo total de compra de vehículo de recolección primaria [$$$]</v>
      </c>
      <c r="C53" s="721" t="str">
        <f>IF('3) Parametros_modelo'!$C$52=Language!$A$46,C52*'3) Parametros_modelo'!$C$70,"")</f>
        <v/>
      </c>
      <c r="D53" s="721" t="str">
        <f>IF('3) Parametros_modelo'!$C$52=Language!$A$46,D52*'3) Parametros_modelo'!$C$70,"")</f>
        <v/>
      </c>
      <c r="E53" s="721" t="str">
        <f>IF('3) Parametros_modelo'!$C$52=Language!$A$46,E52*'3) Parametros_modelo'!$C$70,"")</f>
        <v/>
      </c>
      <c r="F53" s="721" t="str">
        <f>IF('3) Parametros_modelo'!$C$52=Language!$A$46,F52*'3) Parametros_modelo'!$C$70,"")</f>
        <v/>
      </c>
      <c r="G53" s="721" t="str">
        <f>IF('3) Parametros_modelo'!$C$52=Language!$A$46,G52*'3) Parametros_modelo'!$C$70,"")</f>
        <v/>
      </c>
      <c r="H53" s="721" t="str">
        <f>IF('3) Parametros_modelo'!$C$52=Language!$A$46,H52*'3) Parametros_modelo'!$C$70,"")</f>
        <v/>
      </c>
      <c r="I53" s="721" t="str">
        <f>IF('3) Parametros_modelo'!$C$52=Language!$A$46,I52*'3) Parametros_modelo'!$C$70,"")</f>
        <v/>
      </c>
      <c r="J53" s="711"/>
      <c r="K53" s="711"/>
      <c r="L53" s="711"/>
      <c r="M53" s="721" t="str">
        <f>IF('3) Parametros_modelo'!$C$52=Language!$A$46,M52*'3) Parametros_modelo'!$C$70,"")</f>
        <v/>
      </c>
      <c r="N53" s="711"/>
      <c r="O53" s="711"/>
      <c r="P53" s="711"/>
      <c r="Q53" s="717"/>
    </row>
    <row r="54" spans="1:18" x14ac:dyDescent="0.35">
      <c r="A54" s="299"/>
      <c r="B54" s="504" t="str">
        <f>Language!A463</f>
        <v>Personal total del servicio de recolección primario [personas]</v>
      </c>
      <c r="C54" s="721" t="str">
        <f>IF('3) Parametros_modelo'!$C$52=Language!$A$46,C49*'3) Parametros_modelo'!$C$63,"")</f>
        <v/>
      </c>
      <c r="D54" s="721" t="str">
        <f>IF('3) Parametros_modelo'!$C$52=Language!$A$46,D49*'3) Parametros_modelo'!$C$63,"")</f>
        <v/>
      </c>
      <c r="E54" s="721" t="str">
        <f>IF('3) Parametros_modelo'!$C$52=Language!$A$46,E49*'3) Parametros_modelo'!$C$63,"")</f>
        <v/>
      </c>
      <c r="F54" s="721" t="str">
        <f>IF('3) Parametros_modelo'!$C$52=Language!$A$46,F49*'3) Parametros_modelo'!$C$63,"")</f>
        <v/>
      </c>
      <c r="G54" s="721" t="str">
        <f>IF('3) Parametros_modelo'!$C$52=Language!$A$46,G49*'3) Parametros_modelo'!$C$63,"")</f>
        <v/>
      </c>
      <c r="H54" s="721" t="str">
        <f>IF('3) Parametros_modelo'!$C$52=Language!$A$46,H49*'3) Parametros_modelo'!$C$63,"")</f>
        <v/>
      </c>
      <c r="I54" s="721" t="str">
        <f>IF('3) Parametros_modelo'!$C$52=Language!$A$46,I49*'3) Parametros_modelo'!$C$63,"")</f>
        <v/>
      </c>
      <c r="J54" s="711"/>
      <c r="K54" s="711"/>
      <c r="L54" s="711"/>
      <c r="M54" s="721" t="str">
        <f>IF('3) Parametros_modelo'!$C$52=Language!$A$46,M49*'3) Parametros_modelo'!$C$63,"")</f>
        <v/>
      </c>
      <c r="N54" s="711"/>
      <c r="O54" s="711"/>
      <c r="P54" s="711"/>
      <c r="Q54" s="717"/>
    </row>
    <row r="55" spans="1:18" x14ac:dyDescent="0.35">
      <c r="A55" s="299"/>
      <c r="B55" s="504" t="str">
        <f>Language!A464</f>
        <v>Costos totales personal de servicio de recolección primario por año [$$$/año]</v>
      </c>
      <c r="C55" s="721" t="str">
        <f>IF('3) Parametros_modelo'!$C$52=Language!$A$46,C54*'3) Parametros_modelo'!$C$64,"")</f>
        <v/>
      </c>
      <c r="D55" s="721" t="str">
        <f>IF('3) Parametros_modelo'!$C$52=Language!$A$46,D54*'3) Parametros_modelo'!$C$64,"")</f>
        <v/>
      </c>
      <c r="E55" s="721" t="str">
        <f>IF('3) Parametros_modelo'!$C$52=Language!$A$46,E54*'3) Parametros_modelo'!$C$64,"")</f>
        <v/>
      </c>
      <c r="F55" s="721" t="str">
        <f>IF('3) Parametros_modelo'!$C$52=Language!$A$46,F54*'3) Parametros_modelo'!$C$64,"")</f>
        <v/>
      </c>
      <c r="G55" s="721" t="str">
        <f>IF('3) Parametros_modelo'!$C$52=Language!$A$46,G54*'3) Parametros_modelo'!$C$64,"")</f>
        <v/>
      </c>
      <c r="H55" s="721" t="str">
        <f>IF('3) Parametros_modelo'!$C$52=Language!$A$46,H54*'3) Parametros_modelo'!$C$64,"")</f>
        <v/>
      </c>
      <c r="I55" s="721" t="str">
        <f>IF('3) Parametros_modelo'!$C$52=Language!$A$46,I54*'3) Parametros_modelo'!$C$64,"")</f>
        <v/>
      </c>
      <c r="J55" s="711"/>
      <c r="K55" s="711"/>
      <c r="L55" s="711"/>
      <c r="M55" s="721" t="str">
        <f>IF('3) Parametros_modelo'!$C$52=Language!$A$46,M54*'3) Parametros_modelo'!$C$64,"")</f>
        <v/>
      </c>
      <c r="N55" s="711"/>
      <c r="O55" s="711"/>
      <c r="P55" s="711"/>
      <c r="Q55" s="717"/>
    </row>
    <row r="56" spans="1:18" x14ac:dyDescent="0.35">
      <c r="A56" s="299"/>
      <c r="B56" s="504" t="str">
        <f>Language!A465</f>
        <v>Distancia semanal vehículos recolección (parqueo-ciudad) [km/semana]</v>
      </c>
      <c r="C56" s="718" t="e">
        <f>(C33/C47)*('3) Parametros_modelo'!$C$68*2)</f>
        <v>#DIV/0!</v>
      </c>
      <c r="D56" s="718" t="e">
        <f>(D33/D47)*('3) Parametros_modelo'!$C$68*2)</f>
        <v>#DIV/0!</v>
      </c>
      <c r="E56" s="718" t="e">
        <f>(E33/E47)*('3) Parametros_modelo'!$C$68*2)</f>
        <v>#DIV/0!</v>
      </c>
      <c r="F56" s="718" t="e">
        <f>(F33/F47)*('3) Parametros_modelo'!$C$68*2)</f>
        <v>#DIV/0!</v>
      </c>
      <c r="G56" s="718" t="e">
        <f>(G33/G47)*('3) Parametros_modelo'!$C$68*2)</f>
        <v>#DIV/0!</v>
      </c>
      <c r="H56" s="718" t="e">
        <f>(H33/H47)*('3) Parametros_modelo'!$C$68*2)</f>
        <v>#DIV/0!</v>
      </c>
      <c r="I56" s="718" t="e">
        <f>(I33/I47)*('3) Parametros_modelo'!$C$68*2)</f>
        <v>#DIV/0!</v>
      </c>
      <c r="J56" s="711"/>
      <c r="K56" s="711"/>
      <c r="L56" s="711"/>
      <c r="M56" s="718" t="e">
        <f>(M33/M47)*('3) Parametros_modelo'!$C$68*2)</f>
        <v>#DIV/0!</v>
      </c>
      <c r="N56" s="711"/>
      <c r="O56" s="711"/>
      <c r="P56" s="711"/>
      <c r="Q56" s="717"/>
    </row>
    <row r="57" spans="1:18" x14ac:dyDescent="0.35">
      <c r="A57" s="299"/>
      <c r="B57" s="504" t="str">
        <f>Language!A466</f>
        <v>Distancia semana de recolección [km/semana]</v>
      </c>
      <c r="C57" s="718" t="e">
        <f t="shared" ref="C57:I57" si="29">C35</f>
        <v>#DIV/0!</v>
      </c>
      <c r="D57" s="718" t="e">
        <f t="shared" si="29"/>
        <v>#DIV/0!</v>
      </c>
      <c r="E57" s="718" t="e">
        <f t="shared" si="29"/>
        <v>#DIV/0!</v>
      </c>
      <c r="F57" s="718" t="e">
        <f t="shared" si="29"/>
        <v>#DIV/0!</v>
      </c>
      <c r="G57" s="718" t="e">
        <f t="shared" si="29"/>
        <v>#DIV/0!</v>
      </c>
      <c r="H57" s="718" t="e">
        <f t="shared" si="29"/>
        <v>#DIV/0!</v>
      </c>
      <c r="I57" s="718" t="e">
        <f t="shared" si="29"/>
        <v>#DIV/0!</v>
      </c>
      <c r="J57" s="711"/>
      <c r="K57" s="711"/>
      <c r="L57" s="711"/>
      <c r="M57" s="718" t="e">
        <f>M35</f>
        <v>#DIV/0!</v>
      </c>
      <c r="N57" s="711"/>
      <c r="O57" s="711"/>
      <c r="P57" s="711"/>
      <c r="Q57" s="717"/>
    </row>
    <row r="58" spans="1:18" ht="29" x14ac:dyDescent="0.35">
      <c r="A58" s="299"/>
      <c r="B58" s="504" t="str">
        <f>Language!A467</f>
        <v>Distancia semanal vehículos de recolección de ciudad a estación de transferencia o sitio de disposición final (si no hay transferencia) [km/semana]</v>
      </c>
      <c r="C58" s="718" t="e">
        <f t="shared" ref="C58:I58" si="30">2*C39*C33</f>
        <v>#DIV/0!</v>
      </c>
      <c r="D58" s="718" t="e">
        <f t="shared" si="30"/>
        <v>#DIV/0!</v>
      </c>
      <c r="E58" s="718" t="e">
        <f t="shared" si="30"/>
        <v>#DIV/0!</v>
      </c>
      <c r="F58" s="718" t="e">
        <f t="shared" si="30"/>
        <v>#DIV/0!</v>
      </c>
      <c r="G58" s="718" t="e">
        <f t="shared" si="30"/>
        <v>#DIV/0!</v>
      </c>
      <c r="H58" s="718" t="e">
        <f t="shared" si="30"/>
        <v>#DIV/0!</v>
      </c>
      <c r="I58" s="718" t="e">
        <f t="shared" si="30"/>
        <v>#DIV/0!</v>
      </c>
      <c r="J58" s="711"/>
      <c r="K58" s="711"/>
      <c r="L58" s="711"/>
      <c r="M58" s="718" t="e">
        <f>2*M39*M33</f>
        <v>#DIV/0!</v>
      </c>
      <c r="N58" s="711"/>
      <c r="O58" s="711"/>
      <c r="P58" s="711"/>
      <c r="Q58" s="717"/>
    </row>
    <row r="59" spans="1:18" x14ac:dyDescent="0.35">
      <c r="A59" s="299"/>
      <c r="B59" s="504" t="str">
        <f>Language!A468</f>
        <v>Distancia semanal de estación de transferencia a disposición final [km/semana]</v>
      </c>
      <c r="C59" s="718">
        <v>0</v>
      </c>
      <c r="D59" s="718">
        <v>0</v>
      </c>
      <c r="E59" s="718">
        <v>0</v>
      </c>
      <c r="F59" s="718">
        <v>0</v>
      </c>
      <c r="G59" s="718">
        <v>0</v>
      </c>
      <c r="H59" s="718">
        <v>0</v>
      </c>
      <c r="I59" s="718">
        <v>0</v>
      </c>
      <c r="J59" s="711"/>
      <c r="K59" s="711"/>
      <c r="L59" s="711"/>
      <c r="M59" s="718">
        <v>0</v>
      </c>
      <c r="N59" s="711"/>
      <c r="O59" s="711"/>
      <c r="P59" s="711"/>
      <c r="Q59" s="717"/>
    </row>
    <row r="60" spans="1:18" x14ac:dyDescent="0.35">
      <c r="A60" s="299"/>
      <c r="B60" s="504" t="str">
        <f>Language!A469</f>
        <v>Costo de operación de los vehículos anual total [$$$/año]</v>
      </c>
      <c r="C60" s="722" t="e">
        <f>SUM(C56:C59)*52*'3) Parametros_modelo'!$C$60</f>
        <v>#DIV/0!</v>
      </c>
      <c r="D60" s="722" t="e">
        <f>SUM(D56:D59)*52*'3) Parametros_modelo'!$C$60</f>
        <v>#DIV/0!</v>
      </c>
      <c r="E60" s="722" t="e">
        <f>SUM(E56:E59)*52*'3) Parametros_modelo'!$C$60</f>
        <v>#DIV/0!</v>
      </c>
      <c r="F60" s="722" t="e">
        <f>SUM(F56:F59)*52*'3) Parametros_modelo'!$C$60</f>
        <v>#DIV/0!</v>
      </c>
      <c r="G60" s="722" t="e">
        <f>SUM(G56:G59)*52*'3) Parametros_modelo'!$C$60</f>
        <v>#DIV/0!</v>
      </c>
      <c r="H60" s="722" t="e">
        <f>SUM(H56:H59)*52*'3) Parametros_modelo'!$C$60</f>
        <v>#DIV/0!</v>
      </c>
      <c r="I60" s="722" t="e">
        <f>SUM(I56:I59)*52*'3) Parametros_modelo'!$C$60</f>
        <v>#DIV/0!</v>
      </c>
      <c r="J60" s="711"/>
      <c r="K60" s="711"/>
      <c r="L60" s="711"/>
      <c r="M60" s="722" t="e">
        <f>SUM(M56:M59)*52*'3) Parametros_modelo'!$C$60</f>
        <v>#DIV/0!</v>
      </c>
      <c r="N60" s="711"/>
      <c r="O60" s="711"/>
      <c r="P60" s="711"/>
      <c r="Q60" s="717"/>
    </row>
    <row r="61" spans="1:18" x14ac:dyDescent="0.35">
      <c r="A61" s="299"/>
      <c r="B61" s="504" t="str">
        <f>Language!A470</f>
        <v>Tasa de interés para cálculo de préstamo [%]</v>
      </c>
      <c r="C61" s="16">
        <v>0.05</v>
      </c>
      <c r="D61" s="16">
        <v>0.05</v>
      </c>
      <c r="E61" s="16">
        <v>0.05</v>
      </c>
      <c r="F61" s="16">
        <v>0.05</v>
      </c>
      <c r="G61" s="16">
        <v>0.05</v>
      </c>
      <c r="H61" s="16">
        <v>0.05</v>
      </c>
      <c r="I61" s="16">
        <v>0.05</v>
      </c>
      <c r="J61" s="711"/>
      <c r="K61" s="711"/>
      <c r="L61" s="711"/>
      <c r="M61" s="16">
        <v>0.05</v>
      </c>
      <c r="N61" s="711"/>
      <c r="O61" s="711"/>
      <c r="P61" s="711"/>
      <c r="Q61" s="717"/>
    </row>
    <row r="62" spans="1:18" x14ac:dyDescent="0.35">
      <c r="A62" s="299"/>
      <c r="B62" s="504" t="str">
        <f>Language!A471</f>
        <v>Kilometraje anual por vehículo de recolección primaria [km/año*vehículo]</v>
      </c>
      <c r="C62" s="721" t="e">
        <f>52*SUM(C56:C59)/C52</f>
        <v>#DIV/0!</v>
      </c>
      <c r="D62" s="721" t="e">
        <f t="shared" ref="D62:I62" si="31">52*SUM(D56:D59)/D52</f>
        <v>#DIV/0!</v>
      </c>
      <c r="E62" s="721" t="e">
        <f t="shared" si="31"/>
        <v>#DIV/0!</v>
      </c>
      <c r="F62" s="721" t="e">
        <f t="shared" si="31"/>
        <v>#DIV/0!</v>
      </c>
      <c r="G62" s="721" t="e">
        <f t="shared" si="31"/>
        <v>#DIV/0!</v>
      </c>
      <c r="H62" s="721" t="e">
        <f t="shared" si="31"/>
        <v>#DIV/0!</v>
      </c>
      <c r="I62" s="721" t="e">
        <f t="shared" si="31"/>
        <v>#DIV/0!</v>
      </c>
      <c r="J62" s="721"/>
      <c r="K62" s="721"/>
      <c r="L62" s="721"/>
      <c r="M62" s="721" t="e">
        <f t="shared" ref="M62" si="32">52*SUM(M56:M59)/M52</f>
        <v>#DIV/0!</v>
      </c>
      <c r="N62" s="711"/>
      <c r="O62" s="711"/>
      <c r="P62" s="711"/>
      <c r="Q62" s="717"/>
    </row>
    <row r="63" spans="1:18" x14ac:dyDescent="0.35">
      <c r="A63" s="299"/>
      <c r="B63" s="504" t="str">
        <f>Language!A472</f>
        <v>Depreciación del vehículo utilizado [años]</v>
      </c>
      <c r="C63" s="719" t="e">
        <f>'3) Parametros_modelo'!$C$71/'5) Calculos'!C62</f>
        <v>#DIV/0!</v>
      </c>
      <c r="D63" s="719" t="e">
        <f>'3) Parametros_modelo'!$C$71/'5) Calculos'!D62</f>
        <v>#DIV/0!</v>
      </c>
      <c r="E63" s="719" t="e">
        <f>'3) Parametros_modelo'!$C$71/'5) Calculos'!E62</f>
        <v>#DIV/0!</v>
      </c>
      <c r="F63" s="719" t="e">
        <f>'3) Parametros_modelo'!$C$71/'5) Calculos'!F62</f>
        <v>#DIV/0!</v>
      </c>
      <c r="G63" s="719" t="e">
        <f>'3) Parametros_modelo'!$C$71/'5) Calculos'!G62</f>
        <v>#DIV/0!</v>
      </c>
      <c r="H63" s="719" t="e">
        <f>'3) Parametros_modelo'!$C$71/'5) Calculos'!H62</f>
        <v>#DIV/0!</v>
      </c>
      <c r="I63" s="719" t="e">
        <f>'3) Parametros_modelo'!$C$71/'5) Calculos'!I62</f>
        <v>#DIV/0!</v>
      </c>
      <c r="J63" s="711"/>
      <c r="K63" s="711"/>
      <c r="L63" s="711"/>
      <c r="M63" s="719" t="e">
        <f>'3) Parametros_modelo'!$C$71/'5) Calculos'!M62</f>
        <v>#DIV/0!</v>
      </c>
      <c r="N63" s="711"/>
      <c r="O63" s="711"/>
      <c r="P63" s="711"/>
      <c r="Q63" s="717"/>
    </row>
    <row r="64" spans="1:18" x14ac:dyDescent="0.35">
      <c r="A64" s="299"/>
      <c r="B64" s="504" t="str">
        <f>Language!A473</f>
        <v>Depreciación monetaria de vehículos de recolección [$$$/año]</v>
      </c>
      <c r="C64" s="718" t="str">
        <f>IF('3) Parametros_modelo'!$C$52=Language!$A$46,(C53*C61*((1+C61)^C63))/(((1+C61)^C63)-1),"")</f>
        <v/>
      </c>
      <c r="D64" s="718" t="str">
        <f>IF('3) Parametros_modelo'!$C$52=Language!$A$46,(D53*D61*((1+D61)^D63))/(((1+D61)^D63)-1),"")</f>
        <v/>
      </c>
      <c r="E64" s="718" t="str">
        <f>IF('3) Parametros_modelo'!$C$52=Language!$A$46,(E53*E61*((1+E61)^E63))/(((1+E61)^E63)-1),"")</f>
        <v/>
      </c>
      <c r="F64" s="718" t="str">
        <f>IF('3) Parametros_modelo'!$C$52=Language!$A$46,(F53*F61*((1+F61)^F63))/(((1+F61)^F63)-1),"")</f>
        <v/>
      </c>
      <c r="G64" s="718" t="str">
        <f>IF('3) Parametros_modelo'!$C$52=Language!$A$46,(G53*G61*((1+G61)^G63))/(((1+G61)^G63)-1),"")</f>
        <v/>
      </c>
      <c r="H64" s="718" t="str">
        <f>IF('3) Parametros_modelo'!$C$52=Language!$A$46,(H53*H61*((1+H61)^H63))/(((1+H61)^H63)-1),"")</f>
        <v/>
      </c>
      <c r="I64" s="718" t="str">
        <f>IF('3) Parametros_modelo'!$C$52=Language!$A$46,(I53*I61*((1+I61)^I63))/(((1+I61)^I63)-1),"")</f>
        <v/>
      </c>
      <c r="J64" s="711"/>
      <c r="K64" s="711"/>
      <c r="L64" s="711"/>
      <c r="M64" s="718" t="str">
        <f>IF('3) Parametros_modelo'!$C$52=Language!$A$46,(M53*M61*((1+M61)^M63))/(((1+M61)^M63)-1),"")</f>
        <v/>
      </c>
      <c r="N64" s="711"/>
      <c r="O64" s="711"/>
      <c r="P64" s="711"/>
      <c r="Q64" s="717"/>
    </row>
    <row r="65" spans="1:20" ht="15" thickBot="1" x14ac:dyDescent="0.4">
      <c r="A65" s="299"/>
      <c r="B65" s="507" t="str">
        <f>Language!A474</f>
        <v>Costo total anual de la recolección primaria [$$$/año]</v>
      </c>
      <c r="C65" s="723" t="str">
        <f>IF('3) Parametros_modelo'!$C$52=Language!$A$46,C64+C60+C55,"")</f>
        <v/>
      </c>
      <c r="D65" s="723" t="str">
        <f>IF('3) Parametros_modelo'!$C$52=Language!$A$46,D64+D60+D55,"")</f>
        <v/>
      </c>
      <c r="E65" s="723" t="str">
        <f>IF('3) Parametros_modelo'!$C$52=Language!$A$46,E64+E60+E55,"")</f>
        <v/>
      </c>
      <c r="F65" s="723" t="str">
        <f>IF('3) Parametros_modelo'!$C$52=Language!$A$46,F64+F60+F55,"")</f>
        <v/>
      </c>
      <c r="G65" s="723" t="str">
        <f>IF('3) Parametros_modelo'!$C$52=Language!$A$46,G64+G60+G55,"")</f>
        <v/>
      </c>
      <c r="H65" s="723" t="str">
        <f>IF('3) Parametros_modelo'!$C$52=Language!$A$46,H64+H60+H55,"")</f>
        <v/>
      </c>
      <c r="I65" s="723" t="str">
        <f>IF('3) Parametros_modelo'!$C$52=Language!$A$46,I64+I60+I55,"")</f>
        <v/>
      </c>
      <c r="J65" s="724"/>
      <c r="K65" s="724"/>
      <c r="L65" s="724"/>
      <c r="M65" s="723" t="str">
        <f>IF('3) Parametros_modelo'!$C$52=Language!$A$46,M64+M60+M55,"")</f>
        <v/>
      </c>
      <c r="N65" s="724"/>
      <c r="O65" s="724"/>
      <c r="P65" s="724"/>
      <c r="Q65" s="725"/>
    </row>
    <row r="66" spans="1:20" ht="15" thickBot="1" x14ac:dyDescent="0.4">
      <c r="A66" s="299"/>
    </row>
    <row r="67" spans="1:20" x14ac:dyDescent="0.35">
      <c r="A67" s="299"/>
      <c r="B67" s="493" t="str">
        <f>Language!A475</f>
        <v>Correcciones de distancias y tiempos necesarios</v>
      </c>
      <c r="C67" s="709"/>
      <c r="D67" s="709"/>
      <c r="E67" s="709"/>
      <c r="F67" s="494"/>
      <c r="G67" s="494"/>
      <c r="H67" s="494"/>
      <c r="I67" s="494"/>
      <c r="J67" s="494"/>
      <c r="K67" s="494"/>
      <c r="L67" s="494"/>
      <c r="M67" s="494"/>
      <c r="N67" s="494"/>
      <c r="O67" s="494"/>
      <c r="P67" s="494"/>
      <c r="Q67" s="495"/>
    </row>
    <row r="68" spans="1:20" x14ac:dyDescent="0.35">
      <c r="A68" s="299"/>
      <c r="B68" s="543"/>
      <c r="C68" s="726"/>
      <c r="D68" s="726"/>
      <c r="E68" s="726"/>
      <c r="F68" s="544"/>
      <c r="G68" s="544"/>
      <c r="H68" s="544"/>
      <c r="I68" s="544"/>
      <c r="J68" s="544"/>
      <c r="K68" s="544"/>
      <c r="L68" s="544"/>
      <c r="M68" s="544"/>
      <c r="N68" s="544"/>
      <c r="O68" s="544"/>
      <c r="P68" s="544"/>
      <c r="Q68" s="727"/>
    </row>
    <row r="69" spans="1:20" x14ac:dyDescent="0.35">
      <c r="A69" s="299"/>
      <c r="B69" s="543"/>
      <c r="C69" s="726"/>
      <c r="D69" s="726"/>
      <c r="E69" s="726"/>
      <c r="F69" s="544"/>
      <c r="G69" s="544"/>
      <c r="H69" s="544"/>
      <c r="I69" s="544"/>
      <c r="J69" s="544"/>
      <c r="K69" s="544"/>
      <c r="L69" s="544"/>
      <c r="M69" s="544"/>
      <c r="N69" s="544"/>
      <c r="O69" s="544"/>
      <c r="P69" s="544"/>
      <c r="Q69" s="727"/>
    </row>
    <row r="70" spans="1:20" ht="101.5" x14ac:dyDescent="0.35">
      <c r="A70" s="299"/>
      <c r="B70" s="498" t="str">
        <f>Language!A476</f>
        <v>Promedio de familias recolectadas en cada parada del camión recolector [familias/parada]</v>
      </c>
      <c r="C70" s="144">
        <v>1</v>
      </c>
      <c r="D70" s="144">
        <v>1</v>
      </c>
      <c r="E70" s="144">
        <v>10</v>
      </c>
      <c r="F70" s="144">
        <v>10</v>
      </c>
      <c r="G70" s="403"/>
      <c r="H70" s="403"/>
      <c r="I70" s="403"/>
      <c r="J70" s="403"/>
      <c r="K70" s="403"/>
      <c r="L70" s="403"/>
      <c r="M70" s="503"/>
      <c r="N70" s="503"/>
      <c r="O70" s="503"/>
      <c r="P70" s="503"/>
      <c r="Q70" s="652" t="str">
        <f>Language!A484</f>
        <v>Valores indicativos: de 1 a 30. 2 para modelizar un servicio casa por casa, 30 para esquina por equina. Se debe verificar la distancia calculada entre las paradas del camión para validar el dato ingresado - el tiempo por parada debe de corresponder al tiempo necesario para recolectar el numero indicado de viviendas</v>
      </c>
      <c r="T70" s="706" t="s">
        <v>119</v>
      </c>
    </row>
    <row r="71" spans="1:20" ht="58" x14ac:dyDescent="0.35">
      <c r="A71" s="299"/>
      <c r="B71" s="498" t="str">
        <f>Language!A477</f>
        <v>Factor correctivo de distancia []</v>
      </c>
      <c r="C71" s="144">
        <v>1.2</v>
      </c>
      <c r="D71" s="144">
        <v>1.2</v>
      </c>
      <c r="E71" s="144">
        <v>1</v>
      </c>
      <c r="F71" s="144">
        <v>1</v>
      </c>
      <c r="G71" s="144">
        <v>1</v>
      </c>
      <c r="H71" s="144">
        <v>1</v>
      </c>
      <c r="I71" s="1095">
        <v>1</v>
      </c>
      <c r="J71" s="1095"/>
      <c r="K71" s="1095"/>
      <c r="L71" s="1095"/>
      <c r="M71" s="1095">
        <v>1</v>
      </c>
      <c r="N71" s="1095"/>
      <c r="O71" s="1095"/>
      <c r="P71" s="1095"/>
      <c r="Q71" s="652" t="str">
        <f>Language!A485</f>
        <v>Se utiliza siempre 1 si hay contenedores
Se utiliza 1 si es por esquinas, se utiliza 1.2 si es casa por casa.</v>
      </c>
      <c r="T71" s="397" t="s">
        <v>92</v>
      </c>
    </row>
    <row r="72" spans="1:20" ht="87" x14ac:dyDescent="0.35">
      <c r="A72" s="299"/>
      <c r="B72" s="498" t="str">
        <f>Language!A478</f>
        <v>Densidad de carretera [km/km2]</v>
      </c>
      <c r="C72" s="539">
        <f>'3) Parametros_modelo'!$C$16</f>
        <v>0</v>
      </c>
      <c r="D72" s="539">
        <f>'3) Parametros_modelo'!$C$16</f>
        <v>0</v>
      </c>
      <c r="E72" s="720">
        <f>'3) Parametros_modelo'!$C$16</f>
        <v>0</v>
      </c>
      <c r="F72" s="720">
        <f>'3) Parametros_modelo'!$C$16</f>
        <v>0</v>
      </c>
      <c r="G72" s="720">
        <f>'3) Parametros_modelo'!$C$16</f>
        <v>0</v>
      </c>
      <c r="H72" s="720">
        <f>'3) Parametros_modelo'!$C$16</f>
        <v>0</v>
      </c>
      <c r="I72" s="1096">
        <f>'3) Parametros_modelo'!$C$16</f>
        <v>0</v>
      </c>
      <c r="J72" s="1096"/>
      <c r="K72" s="1096"/>
      <c r="L72" s="1096"/>
      <c r="M72" s="1096">
        <f>'3) Parametros_modelo'!$C$16</f>
        <v>0</v>
      </c>
      <c r="N72" s="1096"/>
      <c r="O72" s="1096"/>
      <c r="P72" s="1096"/>
      <c r="Q72" s="652"/>
      <c r="T72" s="397" t="s">
        <v>30</v>
      </c>
    </row>
    <row r="73" spans="1:20" ht="43.5" x14ac:dyDescent="0.35">
      <c r="A73" s="299"/>
      <c r="B73" s="498" t="str">
        <f>Language!A479</f>
        <v>Tiempo de cada parada para recoger RS [minutos]</v>
      </c>
      <c r="C73" s="144">
        <v>0.25</v>
      </c>
      <c r="D73" s="144">
        <v>0.25</v>
      </c>
      <c r="E73" s="144">
        <v>1</v>
      </c>
      <c r="F73" s="144">
        <v>1</v>
      </c>
      <c r="G73" s="144">
        <v>1</v>
      </c>
      <c r="H73" s="144">
        <v>1</v>
      </c>
      <c r="I73" s="1097">
        <v>1</v>
      </c>
      <c r="J73" s="1098"/>
      <c r="K73" s="1098"/>
      <c r="L73" s="1099"/>
      <c r="M73" s="1097">
        <v>1</v>
      </c>
      <c r="N73" s="1098"/>
      <c r="O73" s="1098"/>
      <c r="P73" s="1099"/>
      <c r="Q73" s="652" t="str">
        <f>Language!A486</f>
        <v>Por defecto = 1 para contenedores
Por defecto = 1 para paradas de esquinas
Por defecto = 0.1 para casa por casa</v>
      </c>
      <c r="R73" s="506"/>
      <c r="T73" s="397" t="s">
        <v>120</v>
      </c>
    </row>
    <row r="74" spans="1:20" x14ac:dyDescent="0.35">
      <c r="A74" s="299"/>
      <c r="B74" s="498" t="str">
        <f>Language!A480</f>
        <v>Tiempo para vaciar camión recolector en estación de transferencia [minutos]</v>
      </c>
      <c r="C74" s="728">
        <f>'3) Parametros_modelo'!$C$113</f>
        <v>12</v>
      </c>
      <c r="D74" s="728">
        <f>'3) Parametros_modelo'!$C$113</f>
        <v>12</v>
      </c>
      <c r="E74" s="728">
        <f>'3) Parametros_modelo'!$C$113</f>
        <v>12</v>
      </c>
      <c r="F74" s="720">
        <f>'3) Parametros_modelo'!C113</f>
        <v>12</v>
      </c>
      <c r="G74" s="720">
        <f>'3) Parametros_modelo'!$C$113</f>
        <v>12</v>
      </c>
      <c r="H74" s="720">
        <f>'3) Parametros_modelo'!$C$113</f>
        <v>12</v>
      </c>
      <c r="I74" s="1103">
        <f>'3) Parametros_modelo'!$C$113</f>
        <v>12</v>
      </c>
      <c r="J74" s="1103"/>
      <c r="K74" s="1103"/>
      <c r="L74" s="1103"/>
      <c r="M74" s="1103">
        <f>'3) Parametros_modelo'!$C$113</f>
        <v>12</v>
      </c>
      <c r="N74" s="1103"/>
      <c r="O74" s="1103"/>
      <c r="P74" s="1103"/>
      <c r="Q74" s="652"/>
    </row>
    <row r="75" spans="1:20" x14ac:dyDescent="0.35">
      <c r="A75" s="299"/>
      <c r="B75" s="498" t="str">
        <f>Language!A481</f>
        <v>Tiempo para llenar camiones de transferencia en la estación de transferencia [minutos]</v>
      </c>
      <c r="C75" s="728">
        <f>'3) Parametros_modelo'!$C$114</f>
        <v>12</v>
      </c>
      <c r="D75" s="728">
        <f>'3) Parametros_modelo'!$C$114</f>
        <v>12</v>
      </c>
      <c r="E75" s="728">
        <f>'3) Parametros_modelo'!$C$114</f>
        <v>12</v>
      </c>
      <c r="F75" s="720">
        <f>'3) Parametros_modelo'!C114</f>
        <v>12</v>
      </c>
      <c r="G75" s="720">
        <f>'3) Parametros_modelo'!$C$114</f>
        <v>12</v>
      </c>
      <c r="H75" s="720">
        <f>'3) Parametros_modelo'!$C$114</f>
        <v>12</v>
      </c>
      <c r="I75" s="1102">
        <f>'3) Parametros_modelo'!$C$114</f>
        <v>12</v>
      </c>
      <c r="J75" s="1102"/>
      <c r="K75" s="1102"/>
      <c r="L75" s="1102"/>
      <c r="M75" s="1102">
        <f>'3) Parametros_modelo'!$C$114</f>
        <v>12</v>
      </c>
      <c r="N75" s="1102"/>
      <c r="O75" s="1102"/>
      <c r="P75" s="1102"/>
      <c r="Q75" s="652"/>
    </row>
    <row r="76" spans="1:20" x14ac:dyDescent="0.35">
      <c r="A76" s="299"/>
      <c r="B76" s="498" t="str">
        <f>Language!A482</f>
        <v>Tiempo para vaciar camiones de transferencia en sitio de disposición final [minutos]</v>
      </c>
      <c r="C76" s="728">
        <f>'3) Parametros_modelo'!$C$115</f>
        <v>12</v>
      </c>
      <c r="D76" s="728">
        <f>'3) Parametros_modelo'!$C$115</f>
        <v>12</v>
      </c>
      <c r="E76" s="728">
        <f>'3) Parametros_modelo'!$C$115</f>
        <v>12</v>
      </c>
      <c r="F76" s="720">
        <f>'3) Parametros_modelo'!C115</f>
        <v>12</v>
      </c>
      <c r="G76" s="720">
        <f>'3) Parametros_modelo'!$C$115</f>
        <v>12</v>
      </c>
      <c r="H76" s="720">
        <f>'3) Parametros_modelo'!$C$115</f>
        <v>12</v>
      </c>
      <c r="I76" s="1102">
        <f>'3) Parametros_modelo'!$C$115</f>
        <v>12</v>
      </c>
      <c r="J76" s="1102"/>
      <c r="K76" s="1102"/>
      <c r="L76" s="1102"/>
      <c r="M76" s="1102">
        <f>'3) Parametros_modelo'!$C$115</f>
        <v>12</v>
      </c>
      <c r="N76" s="1102"/>
      <c r="O76" s="1102"/>
      <c r="P76" s="1102"/>
      <c r="Q76" s="652"/>
    </row>
    <row r="77" spans="1:20" ht="15" thickBot="1" x14ac:dyDescent="0.4">
      <c r="A77" s="299"/>
      <c r="B77" s="672" t="str">
        <f>Language!A483</f>
        <v>Cantidad de estaciones de transferencias</v>
      </c>
      <c r="C77" s="729">
        <f>IF(C6=Language!A406, 1, 0)</f>
        <v>0</v>
      </c>
      <c r="D77" s="729">
        <f>IF(D6=Language!A406, 1, 0)</f>
        <v>1</v>
      </c>
      <c r="E77" s="729">
        <f>IF(E6=Language!A406, 1, 0)</f>
        <v>0</v>
      </c>
      <c r="F77" s="729">
        <f>IF(F6=Language!A406, 1, 0)</f>
        <v>1</v>
      </c>
      <c r="G77" s="729">
        <f>IF(G6=Language!A406, 1, 0)</f>
        <v>0</v>
      </c>
      <c r="H77" s="729">
        <f>IF(H6=Language!A406, 1, 0)</f>
        <v>1</v>
      </c>
      <c r="I77" s="1105">
        <f>IF(I6=Language!A406, 1, 0)</f>
        <v>0</v>
      </c>
      <c r="J77" s="1105"/>
      <c r="K77" s="1105"/>
      <c r="L77" s="1105"/>
      <c r="M77" s="1105">
        <f>IF(M6=Language!A406, 1, 0)</f>
        <v>1</v>
      </c>
      <c r="N77" s="1105"/>
      <c r="O77" s="1105"/>
      <c r="P77" s="1105"/>
      <c r="Q77" s="705" t="str">
        <f>Language!A487</f>
        <v>Por defecto solo hay 1 estación</v>
      </c>
    </row>
    <row r="78" spans="1:20" ht="15" thickBot="1" x14ac:dyDescent="0.4">
      <c r="A78" s="299"/>
    </row>
    <row r="79" spans="1:20" x14ac:dyDescent="0.35">
      <c r="A79" s="299"/>
      <c r="B79" s="493" t="str">
        <f>Language!A488</f>
        <v>Definición de distancia de recolección y cantidad de RS a recolectar</v>
      </c>
      <c r="C79" s="709"/>
      <c r="D79" s="709"/>
      <c r="E79" s="709"/>
      <c r="F79" s="494"/>
      <c r="G79" s="494"/>
      <c r="H79" s="494"/>
      <c r="I79" s="494"/>
      <c r="J79" s="494"/>
      <c r="K79" s="494"/>
      <c r="L79" s="494"/>
      <c r="M79" s="494"/>
      <c r="N79" s="494"/>
      <c r="O79" s="494"/>
      <c r="P79" s="494"/>
      <c r="Q79" s="495"/>
    </row>
    <row r="80" spans="1:20" x14ac:dyDescent="0.35">
      <c r="A80" s="299"/>
      <c r="B80" s="504" t="str">
        <f>Language!A489</f>
        <v>Generación domiciliar diaria total [kg/día]</v>
      </c>
      <c r="C80" s="711">
        <f>population*daycapgeneration</f>
        <v>0</v>
      </c>
      <c r="D80" s="711">
        <f t="shared" ref="D80:I80" si="33">population*daycapgeneration</f>
        <v>0</v>
      </c>
      <c r="E80" s="711">
        <f t="shared" si="33"/>
        <v>0</v>
      </c>
      <c r="F80" s="711">
        <f t="shared" si="33"/>
        <v>0</v>
      </c>
      <c r="G80" s="711">
        <f t="shared" si="33"/>
        <v>0</v>
      </c>
      <c r="H80" s="711">
        <f t="shared" si="33"/>
        <v>0</v>
      </c>
      <c r="I80" s="1102">
        <f t="shared" si="33"/>
        <v>0</v>
      </c>
      <c r="J80" s="1102"/>
      <c r="K80" s="1102"/>
      <c r="L80" s="1102"/>
      <c r="M80" s="1102">
        <f>population*daycapgeneration</f>
        <v>0</v>
      </c>
      <c r="N80" s="1102"/>
      <c r="O80" s="1102"/>
      <c r="P80" s="1102"/>
      <c r="Q80" s="548"/>
    </row>
    <row r="81" spans="1:20" x14ac:dyDescent="0.35">
      <c r="A81" s="299"/>
      <c r="B81" s="504" t="str">
        <f>Language!A490</f>
        <v>Generación domiciliar diaria que recolectar [kg/día]</v>
      </c>
      <c r="C81" s="711">
        <f>C80*coverage</f>
        <v>0</v>
      </c>
      <c r="D81" s="711">
        <f>D80*coverage</f>
        <v>0</v>
      </c>
      <c r="E81" s="711">
        <f>E80*coverage</f>
        <v>0</v>
      </c>
      <c r="F81" s="711">
        <f>totaldayHHgeneration*coverage</f>
        <v>0</v>
      </c>
      <c r="G81" s="711">
        <f>totaldayHHgeneration*coverage</f>
        <v>0</v>
      </c>
      <c r="H81" s="711">
        <f>totaldayHHgeneration*coverage</f>
        <v>0</v>
      </c>
      <c r="I81" s="1102">
        <f>totaldayHHgeneration*coverage</f>
        <v>0</v>
      </c>
      <c r="J81" s="1102"/>
      <c r="K81" s="1102"/>
      <c r="L81" s="1102"/>
      <c r="M81" s="1102">
        <f>totaldayHHgeneration*coverage</f>
        <v>0</v>
      </c>
      <c r="N81" s="1102"/>
      <c r="O81" s="1102"/>
      <c r="P81" s="1102"/>
      <c r="Q81" s="730" t="str">
        <f>Language!A523</f>
        <v>Toma en cuenta la cobertura del servicio</v>
      </c>
    </row>
    <row r="82" spans="1:20" x14ac:dyDescent="0.35">
      <c r="A82" s="299"/>
      <c r="B82" s="504" t="str">
        <f>Language!A491</f>
        <v>Cantidad de RS domiciliares que gestionar en días laborales [kg/día]</v>
      </c>
      <c r="C82" s="711">
        <f>C81*daysofgeneration/daysofwork</f>
        <v>0</v>
      </c>
      <c r="D82" s="711">
        <f>D81*daysofgeneration/daysofwork</f>
        <v>0</v>
      </c>
      <c r="E82" s="711">
        <f>E81*daysofgeneration/daysofwork</f>
        <v>0</v>
      </c>
      <c r="F82" s="711">
        <f>totaldayHHtobecollected*daysofgeneration/daysofwork</f>
        <v>0</v>
      </c>
      <c r="G82" s="711">
        <f>totaldayHHtobecollected*daysofgeneration/daysofwork</f>
        <v>0</v>
      </c>
      <c r="H82" s="711">
        <f>totaldayHHtobecollected*daysofgeneration/daysofwork</f>
        <v>0</v>
      </c>
      <c r="I82" s="1102">
        <f>totaldayHHtobecollected*daysofgeneration/daysofwork</f>
        <v>0</v>
      </c>
      <c r="J82" s="1102"/>
      <c r="K82" s="1102"/>
      <c r="L82" s="1102"/>
      <c r="M82" s="1102">
        <f>totaldayHHtobecollected*daysofgeneration/daysofwork</f>
        <v>0</v>
      </c>
      <c r="N82" s="1102"/>
      <c r="O82" s="1102"/>
      <c r="P82" s="1102"/>
      <c r="Q82" s="548"/>
    </row>
    <row r="83" spans="1:20" x14ac:dyDescent="0.35">
      <c r="A83" s="299"/>
      <c r="B83" s="504" t="str">
        <f>Language!A492</f>
        <v>Generación no domiciliar diaria total [kg/día]</v>
      </c>
      <c r="C83" s="711">
        <f t="shared" ref="C83:E85" si="34">C80*otherwastefraction/(1-otherwastefraction)</f>
        <v>0</v>
      </c>
      <c r="D83" s="711">
        <f t="shared" si="34"/>
        <v>0</v>
      </c>
      <c r="E83" s="711">
        <f t="shared" si="34"/>
        <v>0</v>
      </c>
      <c r="F83" s="711">
        <f>totaldaygeneration*otherwastefraction/(1-otherwastefraction)</f>
        <v>0</v>
      </c>
      <c r="G83" s="711">
        <f>totaldaygeneration*otherwastefraction/(1-otherwastefraction)</f>
        <v>0</v>
      </c>
      <c r="H83" s="711">
        <f>totaldaygeneration*otherwastefraction/(1-otherwastefraction)</f>
        <v>0</v>
      </c>
      <c r="I83" s="1102">
        <f>totaldaygeneration*otherwastefraction/(1-otherwastefraction)</f>
        <v>0</v>
      </c>
      <c r="J83" s="1102"/>
      <c r="K83" s="1102"/>
      <c r="L83" s="1102"/>
      <c r="M83" s="1102">
        <f>totaldaygeneration*otherwastefraction/(1-otherwastefraction)</f>
        <v>0</v>
      </c>
      <c r="N83" s="1102"/>
      <c r="O83" s="1102"/>
      <c r="P83" s="1102"/>
      <c r="Q83" s="548"/>
    </row>
    <row r="84" spans="1:20" x14ac:dyDescent="0.35">
      <c r="A84" s="299"/>
      <c r="B84" s="504" t="str">
        <f>Language!A493</f>
        <v>Generación no domiciliar diaria que recolectar [kg/día]</v>
      </c>
      <c r="C84" s="711">
        <f t="shared" si="34"/>
        <v>0</v>
      </c>
      <c r="D84" s="711">
        <f t="shared" si="34"/>
        <v>0</v>
      </c>
      <c r="E84" s="711">
        <f t="shared" si="34"/>
        <v>0</v>
      </c>
      <c r="F84" s="711">
        <f>totaldayHHtobecollected*otherwastefraction/(1-otherwastefraction)</f>
        <v>0</v>
      </c>
      <c r="G84" s="711">
        <f>totaldayHHtobecollected*otherwastefraction/(1-otherwastefraction)</f>
        <v>0</v>
      </c>
      <c r="H84" s="711">
        <f>totaldayHHtobecollected*otherwastefraction/(1-otherwastefraction)</f>
        <v>0</v>
      </c>
      <c r="I84" s="1102">
        <f>totaldayHHtobecollected*otherwastefraction/(1-otherwastefraction)</f>
        <v>0</v>
      </c>
      <c r="J84" s="1102"/>
      <c r="K84" s="1102"/>
      <c r="L84" s="1102"/>
      <c r="M84" s="1102">
        <f>totaldayHHtobecollected*otherwastefraction/(1-otherwastefraction)</f>
        <v>0</v>
      </c>
      <c r="N84" s="1102"/>
      <c r="O84" s="1102"/>
      <c r="P84" s="1102"/>
      <c r="Q84" s="548"/>
    </row>
    <row r="85" spans="1:20" x14ac:dyDescent="0.35">
      <c r="A85" s="299"/>
      <c r="B85" s="504" t="str">
        <f>Language!A494</f>
        <v>Cantidad de RS no domiciliares que gestionar en días laborales [kg/día]</v>
      </c>
      <c r="C85" s="711">
        <f t="shared" si="34"/>
        <v>0</v>
      </c>
      <c r="D85" s="711">
        <f t="shared" si="34"/>
        <v>0</v>
      </c>
      <c r="E85" s="711">
        <f t="shared" si="34"/>
        <v>0</v>
      </c>
      <c r="F85" s="711">
        <f>HHWorkdaywastemanaged*otherwastefraction/(1-otherwastefraction)</f>
        <v>0</v>
      </c>
      <c r="G85" s="711">
        <f>HHWorkdaywastemanaged*otherwastefraction/(1-otherwastefraction)</f>
        <v>0</v>
      </c>
      <c r="H85" s="711">
        <f>HHWorkdaywastemanaged*otherwastefraction/(1-otherwastefraction)</f>
        <v>0</v>
      </c>
      <c r="I85" s="1102">
        <f>HHWorkdaywastemanaged*otherwastefraction/(1-otherwastefraction)</f>
        <v>0</v>
      </c>
      <c r="J85" s="1102"/>
      <c r="K85" s="1102"/>
      <c r="L85" s="1102"/>
      <c r="M85" s="1102">
        <f>HHWorkdaywastemanaged*otherwastefraction/(1-otherwastefraction)</f>
        <v>0</v>
      </c>
      <c r="N85" s="1102"/>
      <c r="O85" s="1102"/>
      <c r="P85" s="1102"/>
      <c r="Q85" s="548"/>
    </row>
    <row r="86" spans="1:20" x14ac:dyDescent="0.35">
      <c r="A86" s="299"/>
      <c r="B86" s="504"/>
      <c r="C86" s="539"/>
      <c r="D86" s="539"/>
      <c r="E86" s="539"/>
      <c r="F86" s="711"/>
      <c r="G86" s="711"/>
      <c r="H86" s="711"/>
      <c r="I86" s="711"/>
      <c r="J86" s="711"/>
      <c r="K86" s="711"/>
      <c r="L86" s="711"/>
      <c r="M86" s="711"/>
      <c r="N86" s="711"/>
      <c r="O86" s="711"/>
      <c r="P86" s="711"/>
      <c r="Q86" s="548"/>
    </row>
    <row r="87" spans="1:20" x14ac:dyDescent="0.35">
      <c r="A87" s="299"/>
      <c r="B87" s="504" t="str">
        <f>Language!A495</f>
        <v>Generación diaria total [kg/día]</v>
      </c>
      <c r="C87" s="711">
        <f>C80+C83</f>
        <v>0</v>
      </c>
      <c r="D87" s="711">
        <f t="shared" ref="C87:E89" si="35">D80+D83</f>
        <v>0</v>
      </c>
      <c r="E87" s="711">
        <f t="shared" si="35"/>
        <v>0</v>
      </c>
      <c r="F87" s="711">
        <f>totaldaygeneration+F83</f>
        <v>0</v>
      </c>
      <c r="G87" s="711">
        <f>totaldaygeneration+G83</f>
        <v>0</v>
      </c>
      <c r="H87" s="711">
        <f>totaldaygeneration+H83</f>
        <v>0</v>
      </c>
      <c r="I87" s="1102">
        <f>totaldaygeneration+I83</f>
        <v>0</v>
      </c>
      <c r="J87" s="1102"/>
      <c r="K87" s="1102"/>
      <c r="L87" s="1102"/>
      <c r="M87" s="1102">
        <f>totaldaygeneration+M83</f>
        <v>0</v>
      </c>
      <c r="N87" s="1102"/>
      <c r="O87" s="1102"/>
      <c r="P87" s="1102"/>
      <c r="Q87" s="548"/>
    </row>
    <row r="88" spans="1:20" x14ac:dyDescent="0.35">
      <c r="A88" s="299"/>
      <c r="B88" s="504" t="str">
        <f>Language!A496</f>
        <v>Cantidad total que recolectar por día [kg/día]</v>
      </c>
      <c r="C88" s="711">
        <f>C81+C84</f>
        <v>0</v>
      </c>
      <c r="D88" s="711">
        <f t="shared" si="35"/>
        <v>0</v>
      </c>
      <c r="E88" s="711">
        <f t="shared" si="35"/>
        <v>0</v>
      </c>
      <c r="F88" s="711">
        <f>totaldayHHtobecollected+F84</f>
        <v>0</v>
      </c>
      <c r="G88" s="711">
        <f>totaldayHHtobecollected+G84</f>
        <v>0</v>
      </c>
      <c r="H88" s="711">
        <f>totaldayHHtobecollected+H84</f>
        <v>0</v>
      </c>
      <c r="I88" s="1102">
        <f>totaldayHHtobecollected+I84</f>
        <v>0</v>
      </c>
      <c r="J88" s="1102"/>
      <c r="K88" s="1102"/>
      <c r="L88" s="1102"/>
      <c r="M88" s="1102">
        <f>totaldayHHtobecollected+M84</f>
        <v>0</v>
      </c>
      <c r="N88" s="1102"/>
      <c r="O88" s="1102"/>
      <c r="P88" s="1102"/>
      <c r="Q88" s="548"/>
    </row>
    <row r="89" spans="1:20" ht="13.9" customHeight="1" x14ac:dyDescent="0.35">
      <c r="A89" s="299"/>
      <c r="B89" s="504" t="str">
        <f>Language!A497</f>
        <v>Cantidad total que gestionar por día laboral [kg/día]</v>
      </c>
      <c r="C89" s="711">
        <f t="shared" si="35"/>
        <v>0</v>
      </c>
      <c r="D89" s="711">
        <f t="shared" si="35"/>
        <v>0</v>
      </c>
      <c r="E89" s="711">
        <f t="shared" si="35"/>
        <v>0</v>
      </c>
      <c r="F89" s="711">
        <f>HHWorkdaywastemanaged+F85</f>
        <v>0</v>
      </c>
      <c r="G89" s="711">
        <f>HHWorkdaywastemanaged+G85</f>
        <v>0</v>
      </c>
      <c r="H89" s="711">
        <f>HHWorkdaywastemanaged+H85</f>
        <v>0</v>
      </c>
      <c r="I89" s="1102">
        <f>HHWorkdaywastemanaged+I85</f>
        <v>0</v>
      </c>
      <c r="J89" s="1102"/>
      <c r="K89" s="1102"/>
      <c r="L89" s="1102"/>
      <c r="M89" s="1102">
        <f>HHWorkdaywastemanaged+M85</f>
        <v>0</v>
      </c>
      <c r="N89" s="1102"/>
      <c r="O89" s="1102"/>
      <c r="P89" s="1102"/>
      <c r="Q89" s="548"/>
    </row>
    <row r="90" spans="1:20" x14ac:dyDescent="0.35">
      <c r="A90" s="299"/>
      <c r="B90" s="504" t="str">
        <f>Language!A498</f>
        <v>Prueba lógica de segregación de material especifico</v>
      </c>
      <c r="C90" s="539"/>
      <c r="D90" s="539"/>
      <c r="E90" s="539"/>
      <c r="F90" s="711"/>
      <c r="G90" s="711"/>
      <c r="H90" s="711"/>
      <c r="I90" s="711"/>
      <c r="J90" s="711">
        <f>IF(J9=Language!A406,1,0)</f>
        <v>1</v>
      </c>
      <c r="K90" s="711">
        <f>IF(K9=Language!A406,1,0)</f>
        <v>1</v>
      </c>
      <c r="L90" s="711">
        <f>IF(L9=Language!A406,1,0)</f>
        <v>1</v>
      </c>
      <c r="M90" s="711"/>
      <c r="N90" s="711">
        <f>IF(N9=Language!A406,1,0)</f>
        <v>1</v>
      </c>
      <c r="O90" s="711">
        <f>IF(O9=Language!A406,1,0)</f>
        <v>1</v>
      </c>
      <c r="P90" s="711">
        <f>IF(P9=Language!A406,1,0)</f>
        <v>1</v>
      </c>
      <c r="Q90" s="548"/>
    </row>
    <row r="91" spans="1:20" ht="31.9" customHeight="1" x14ac:dyDescent="0.35">
      <c r="A91" s="299"/>
      <c r="B91" s="504" t="str">
        <f>Language!A499</f>
        <v>Porción adicional de desechos debido a la eficiencia y/o a la no gestión de una fracción [kg/semana]</v>
      </c>
      <c r="C91" s="710"/>
      <c r="D91" s="710"/>
      <c r="E91" s="710"/>
      <c r="F91" s="711"/>
      <c r="G91" s="711"/>
      <c r="H91" s="711"/>
      <c r="I91" s="711"/>
      <c r="J91" s="711"/>
      <c r="K91" s="711">
        <f>IF(K9=Language!A406,I88*daysofgeneration*SUM('3) Parametros_modelo'!$C$22:$C$25)*(1-'3) Parametros_modelo'!$C$138),I88*daysofgeneration*SUM('3) Parametros_modelo'!$C$22:$C$25))</f>
        <v>0</v>
      </c>
      <c r="L91" s="711">
        <f>IF(L9=Language!A406,I88*'3) Parametros_modelo'!$C$21*daysofgeneration*(1-'3) Parametros_modelo'!$C$139),I88*'3) Parametros_modelo'!$C$21*daysofgeneration)</f>
        <v>0</v>
      </c>
      <c r="M91" s="711"/>
      <c r="N91" s="711"/>
      <c r="O91" s="711">
        <f>IF(O9=Language!A406,M88*daysofgeneration*SUM('3) Parametros_modelo'!$C$22:$C$25)*(1-'3) Parametros_modelo'!$C$138),M88*daysofgeneration*SUM('3) Parametros_modelo'!$C$22:$C$25))</f>
        <v>0</v>
      </c>
      <c r="P91" s="711">
        <f>IF(P9=Language!A406,M88*'3) Parametros_modelo'!$C$21*daysofgeneration*(1-'3) Parametros_modelo'!$C$139),M88*'3) Parametros_modelo'!$C$21*daysofgeneration)</f>
        <v>0</v>
      </c>
      <c r="Q91" s="548"/>
    </row>
    <row r="92" spans="1:20" ht="14.25" customHeight="1" x14ac:dyDescent="0.35">
      <c r="A92" s="299"/>
      <c r="B92" s="504" t="str">
        <f>Language!A500</f>
        <v>Cantidad de contenedores necesarios calculados [unidades]</v>
      </c>
      <c r="C92" s="539"/>
      <c r="D92" s="539"/>
      <c r="E92" s="539"/>
      <c r="F92" s="539"/>
      <c r="G92" s="711" t="e">
        <f>CEILING(G88*daysofgeneration/('3) Parametros_modelo'!$C$129*'3) Parametros_modelo'!$C$130*'3) Parametros_modelo'!$C$27*'3) Parametros_modelo'!$C$107),1)</f>
        <v>#DIV/0!</v>
      </c>
      <c r="H92" s="711" t="e">
        <f>CEILING(H88*daysofgeneration/('3) Parametros_modelo'!$C$129*'3) Parametros_modelo'!$C$130*'3) Parametros_modelo'!$C$27*'3) Parametros_modelo'!$C$107),1)</f>
        <v>#DIV/0!</v>
      </c>
      <c r="I92" s="539" t="e">
        <f>CEILING(MAX(J92:L92)*SUM(J90:L90),1)</f>
        <v>#DIV/0!</v>
      </c>
      <c r="J92" s="539" t="e">
        <f>CEILING((SUM(K91:L91)+I88*'3) Parametros_modelo'!$C$26*daysofgeneration)/('3) Parametros_modelo'!$C$132*'3) Parametros_modelo'!$C$133*'3) Parametros_modelo'!$C$35*'3) Parametros_modelo'!$C$108),1)</f>
        <v>#DIV/0!</v>
      </c>
      <c r="K92" s="539" t="e">
        <f>IF(K9=Language!A406,CEILING(I88*SUM('3) Parametros_modelo'!$C$22:$C$25)*daysofgeneration/('3) Parametros_modelo'!$C$134*'3) Parametros_modelo'!$C$135*'3) Parametros_modelo'!$C$30*'3) Parametros_modelo'!$C$109)*'3) Parametros_modelo'!$C$138,1),0)</f>
        <v>#VALUE!</v>
      </c>
      <c r="L92" s="539" t="e">
        <f>IF(L9=Language!A406, CEILING(I88*'3) Parametros_modelo'!$C$21*daysofgeneration/('3) Parametros_modelo'!$C$136*'3) Parametros_modelo'!$C$137*'3) Parametros_modelo'!$C$29*'3) Parametros_modelo'!$C$110)*'3) Parametros_modelo'!$C$139,1),0)</f>
        <v>#DIV/0!</v>
      </c>
      <c r="M92" s="539" t="e">
        <f>CEILING(MAX(N92:P92)*SUM(N90:P90),1)</f>
        <v>#DIV/0!</v>
      </c>
      <c r="N92" s="539" t="e">
        <f>CEILING((SUM(O91:P91)+M88*'3) Parametros_modelo'!$C$26*daysofgeneration)/('3) Parametros_modelo'!$C$132*'3) Parametros_modelo'!$C$133*'3) Parametros_modelo'!$C$35*'3) Parametros_modelo'!$C$108),1)</f>
        <v>#DIV/0!</v>
      </c>
      <c r="O92" s="539" t="e">
        <f>IF(O9=Language!A406,CEILING(M88*SUM('3) Parametros_modelo'!$C$22:$C$25)*daysofgeneration/('3) Parametros_modelo'!$C$134*'3) Parametros_modelo'!$C$135*'3) Parametros_modelo'!$C$30*'3) Parametros_modelo'!$C$109)*'3) Parametros_modelo'!$C$138,1),0)</f>
        <v>#VALUE!</v>
      </c>
      <c r="P92" s="539" t="e">
        <f>IF(P9=Language!A406, CEILING(M88*'3) Parametros_modelo'!$C$21*daysofgeneration/('3) Parametros_modelo'!$C$136*'3) Parametros_modelo'!$C$137*'3) Parametros_modelo'!$C$29*'3) Parametros_modelo'!$C$110)*'3) Parametros_modelo'!$C$139,1),0)</f>
        <v>#DIV/0!</v>
      </c>
      <c r="Q92" s="548"/>
      <c r="T92" s="397" t="s">
        <v>121</v>
      </c>
    </row>
    <row r="93" spans="1:20" ht="58" x14ac:dyDescent="0.35">
      <c r="A93" s="299"/>
      <c r="B93" s="504" t="str">
        <f>Language!A501</f>
        <v>Distancia máxima entre dos puntos de contenedores [km]</v>
      </c>
      <c r="C93" s="539"/>
      <c r="D93" s="539"/>
      <c r="E93" s="539"/>
      <c r="F93" s="539"/>
      <c r="G93" s="91">
        <v>0.4</v>
      </c>
      <c r="H93" s="91">
        <v>0.4</v>
      </c>
      <c r="I93" s="91">
        <v>0.4</v>
      </c>
      <c r="J93" s="539"/>
      <c r="K93" s="539"/>
      <c r="L93" s="539"/>
      <c r="M93" s="91">
        <v>0.4</v>
      </c>
      <c r="N93" s="539"/>
      <c r="O93" s="539"/>
      <c r="P93" s="539"/>
      <c r="Q93" s="730" t="str">
        <f>Language!A524</f>
        <v>Define una distancia teórica máxima entre contenedores, se considera aquí que 200m máximo un usuario estará del contenedor más lejano: 400m entre paradas</v>
      </c>
      <c r="T93" s="397"/>
    </row>
    <row r="94" spans="1:20" ht="45" customHeight="1" x14ac:dyDescent="0.35">
      <c r="A94" s="299"/>
      <c r="B94" s="504" t="str">
        <f>Language!A502</f>
        <v>Cantidad de contenedores necesarios FINAL - controlado [unidades]</v>
      </c>
      <c r="C94" s="539"/>
      <c r="D94" s="539"/>
      <c r="E94" s="539"/>
      <c r="F94" s="539"/>
      <c r="G94" s="711" t="e">
        <f>IF(G107&gt;G93,ROUNDUP(G92*G107/G93,0),G92)</f>
        <v>#DIV/0!</v>
      </c>
      <c r="H94" s="711" t="e">
        <f>IF(H107&gt;H93,ROUNDUP(H92*H107/H93,0),H92)</f>
        <v>#DIV/0!</v>
      </c>
      <c r="I94" s="711" t="e">
        <f>IF(I107&gt;I93,ROUNDUP(I92*I107/I93,0),I92)</f>
        <v>#DIV/0!</v>
      </c>
      <c r="J94" s="539" t="e">
        <f>IF(J90=1,I94/SUM(J90:L90),0)</f>
        <v>#DIV/0!</v>
      </c>
      <c r="K94" s="539" t="e">
        <f>IF(K90=1,I94/SUM(J90:L90),0)</f>
        <v>#DIV/0!</v>
      </c>
      <c r="L94" s="539" t="e">
        <f>IF(L90=1,I94/SUM(J90:L90),0)</f>
        <v>#DIV/0!</v>
      </c>
      <c r="M94" s="711" t="e">
        <f>IF(M107&gt;M93,ROUNDUP(M92*M107/M93,0),M92)</f>
        <v>#DIV/0!</v>
      </c>
      <c r="N94" s="539" t="e">
        <f>IF(N90=1,M94/SUM(N90:P90),0)</f>
        <v>#DIV/0!</v>
      </c>
      <c r="O94" s="539" t="e">
        <f>IF(O90=1,M94/SUM(N90:P90),0)</f>
        <v>#DIV/0!</v>
      </c>
      <c r="P94" s="539" t="e">
        <f>IF(P90=1,M94/SUM(N90:P90),0)</f>
        <v>#DIV/0!</v>
      </c>
      <c r="Q94" s="548"/>
      <c r="T94" s="397"/>
    </row>
    <row r="95" spans="1:20" ht="30.65" customHeight="1" x14ac:dyDescent="0.35">
      <c r="A95" s="299"/>
      <c r="B95" s="504" t="str">
        <f>Language!A503</f>
        <v>Población equivalente por contenedor o punto de colecta (caso separativo) [personas/contenedor]</v>
      </c>
      <c r="C95" s="710"/>
      <c r="D95" s="710"/>
      <c r="E95" s="710"/>
      <c r="F95" s="539"/>
      <c r="G95" s="711" t="e">
        <f>population*(1/(1-otherwastefraction))*coverage/G94</f>
        <v>#DIV/0!</v>
      </c>
      <c r="H95" s="711" t="e">
        <f>population*(1/(1-otherwastefraction))*coverage/H94</f>
        <v>#DIV/0!</v>
      </c>
      <c r="I95" s="1087" t="e">
        <f>(population*(1/(1-otherwastefraction))*coverage/(I94))*SUM(J90:L90)</f>
        <v>#DIV/0!</v>
      </c>
      <c r="J95" s="1087"/>
      <c r="K95" s="1087"/>
      <c r="L95" s="1087"/>
      <c r="M95" s="1087" t="e">
        <f>(population*(1/(1-otherwastefraction))*coverage/(M94))*SUM(N90:P90)</f>
        <v>#DIV/0!</v>
      </c>
      <c r="N95" s="1087"/>
      <c r="O95" s="1087"/>
      <c r="P95" s="1087"/>
      <c r="Q95" s="548"/>
    </row>
    <row r="96" spans="1:20" ht="43.5" x14ac:dyDescent="0.35">
      <c r="A96" s="299"/>
      <c r="B96" s="504" t="str">
        <f>Language!A504</f>
        <v>Familias equivalentes [familias]</v>
      </c>
      <c r="C96" s="711" t="e">
        <f>(population*coverage*(1/(1-otherwastefraction)))/HHsize</f>
        <v>#DIV/0!</v>
      </c>
      <c r="D96" s="711" t="e">
        <f>(population*coverage*(1/(1-otherwastefraction)))/HHsize</f>
        <v>#DIV/0!</v>
      </c>
      <c r="E96" s="711" t="e">
        <f>(population*coverage*(1/(1-otherwastefraction)))/HHsize</f>
        <v>#DIV/0!</v>
      </c>
      <c r="F96" s="711" t="e">
        <f>(population*coverage*(1/(1-otherwastefraction)))/HHsize</f>
        <v>#DIV/0!</v>
      </c>
      <c r="G96" s="711"/>
      <c r="H96" s="711"/>
      <c r="I96" s="711"/>
      <c r="J96" s="711"/>
      <c r="K96" s="711"/>
      <c r="L96" s="711"/>
      <c r="M96" s="711"/>
      <c r="N96" s="711"/>
      <c r="O96" s="711"/>
      <c r="P96" s="711"/>
      <c r="Q96" s="730" t="str">
        <f>Language!A525</f>
        <v>Toma en cuenta la cobertura y la generación no domiciliar como una fracción de la generación domiciliar</v>
      </c>
      <c r="R96" s="506"/>
    </row>
    <row r="97" spans="1:20" x14ac:dyDescent="0.35">
      <c r="A97" s="299"/>
      <c r="B97" s="504"/>
      <c r="C97" s="539"/>
      <c r="D97" s="539"/>
      <c r="E97" s="539"/>
      <c r="F97" s="711"/>
      <c r="G97" s="711"/>
      <c r="H97" s="711"/>
      <c r="I97" s="711"/>
      <c r="J97" s="711"/>
      <c r="K97" s="711"/>
      <c r="L97" s="711"/>
      <c r="M97" s="711"/>
      <c r="N97" s="711"/>
      <c r="O97" s="711"/>
      <c r="P97" s="711"/>
      <c r="Q97" s="730"/>
      <c r="R97" s="506"/>
    </row>
    <row r="98" spans="1:20" x14ac:dyDescent="0.35">
      <c r="A98" s="299"/>
      <c r="B98" s="504" t="str">
        <f>Language!A505</f>
        <v>Densidad de población equivalente [personas/km2]</v>
      </c>
      <c r="C98" s="721" t="e">
        <f t="shared" ref="C98:I98" si="36">population*(1/(1-otherwastefraction))/Superficie</f>
        <v>#DIV/0!</v>
      </c>
      <c r="D98" s="721" t="e">
        <f t="shared" si="36"/>
        <v>#DIV/0!</v>
      </c>
      <c r="E98" s="721" t="e">
        <f t="shared" si="36"/>
        <v>#DIV/0!</v>
      </c>
      <c r="F98" s="721" t="e">
        <f t="shared" si="36"/>
        <v>#DIV/0!</v>
      </c>
      <c r="G98" s="721" t="e">
        <f t="shared" si="36"/>
        <v>#DIV/0!</v>
      </c>
      <c r="H98" s="721" t="e">
        <f t="shared" si="36"/>
        <v>#DIV/0!</v>
      </c>
      <c r="I98" s="1067" t="e">
        <f t="shared" si="36"/>
        <v>#DIV/0!</v>
      </c>
      <c r="J98" s="1067"/>
      <c r="K98" s="1067"/>
      <c r="L98" s="1067"/>
      <c r="M98" s="1067" t="e">
        <f>population*(1/(1-otherwastefraction))/Superficie</f>
        <v>#DIV/0!</v>
      </c>
      <c r="N98" s="1067"/>
      <c r="O98" s="1067"/>
      <c r="P98" s="1067"/>
      <c r="Q98" s="730" t="str">
        <f>Language!A526</f>
        <v>Considera generación no domiciliar</v>
      </c>
    </row>
    <row r="99" spans="1:20" x14ac:dyDescent="0.35">
      <c r="A99" s="299"/>
      <c r="B99" s="504" t="str">
        <f>Language!A506</f>
        <v>Población equivalente por km de carretera [personas/km]</v>
      </c>
      <c r="C99" s="721" t="e">
        <f>C98/C72</f>
        <v>#DIV/0!</v>
      </c>
      <c r="D99" s="721" t="e">
        <f>D98/D72</f>
        <v>#DIV/0!</v>
      </c>
      <c r="E99" s="721" t="e">
        <f>E98/E72</f>
        <v>#DIV/0!</v>
      </c>
      <c r="F99" s="721" t="e">
        <f>F98/densidadcarretera</f>
        <v>#DIV/0!</v>
      </c>
      <c r="G99" s="721" t="e">
        <f>G98/G72</f>
        <v>#DIV/0!</v>
      </c>
      <c r="H99" s="721" t="e">
        <f>H98/H72</f>
        <v>#DIV/0!</v>
      </c>
      <c r="I99" s="1067" t="e">
        <f>I98/I72</f>
        <v>#DIV/0!</v>
      </c>
      <c r="J99" s="1067"/>
      <c r="K99" s="1067"/>
      <c r="L99" s="1067"/>
      <c r="M99" s="1067" t="e">
        <f>M98/M72</f>
        <v>#DIV/0!</v>
      </c>
      <c r="N99" s="1067"/>
      <c r="O99" s="1067"/>
      <c r="P99" s="1067"/>
      <c r="Q99" s="548"/>
    </row>
    <row r="100" spans="1:20" x14ac:dyDescent="0.35">
      <c r="A100" s="299"/>
      <c r="B100" s="504" t="str">
        <f>Language!A507</f>
        <v>Viviendas equivalentes por km de carretera [vivienda/km]</v>
      </c>
      <c r="C100" s="721" t="e">
        <f t="shared" ref="C100:I100" si="37">C99/HHsize</f>
        <v>#DIV/0!</v>
      </c>
      <c r="D100" s="721" t="e">
        <f t="shared" si="37"/>
        <v>#DIV/0!</v>
      </c>
      <c r="E100" s="721" t="e">
        <f t="shared" si="37"/>
        <v>#DIV/0!</v>
      </c>
      <c r="F100" s="721" t="e">
        <f t="shared" si="37"/>
        <v>#DIV/0!</v>
      </c>
      <c r="G100" s="721" t="e">
        <f t="shared" si="37"/>
        <v>#DIV/0!</v>
      </c>
      <c r="H100" s="721" t="e">
        <f t="shared" si="37"/>
        <v>#DIV/0!</v>
      </c>
      <c r="I100" s="1067" t="e">
        <f t="shared" si="37"/>
        <v>#DIV/0!</v>
      </c>
      <c r="J100" s="1067"/>
      <c r="K100" s="1067"/>
      <c r="L100" s="1067"/>
      <c r="M100" s="1067" t="e">
        <f>M99/HHsize</f>
        <v>#DIV/0!</v>
      </c>
      <c r="N100" s="1067"/>
      <c r="O100" s="1067"/>
      <c r="P100" s="1067"/>
      <c r="Q100" s="548"/>
    </row>
    <row r="101" spans="1:20" x14ac:dyDescent="0.35">
      <c r="A101" s="299"/>
      <c r="B101" s="504" t="str">
        <f>Language!A508</f>
        <v>Longitud corregida de carretera total a recolectar [km]</v>
      </c>
      <c r="C101" s="503" t="e">
        <f>(population*coverage*(1/(1-otherwastefraction))/C99)*C71</f>
        <v>#DIV/0!</v>
      </c>
      <c r="D101" s="503" t="e">
        <f>(population*coverage*(1/(1-otherwastefraction))/D99)*D71</f>
        <v>#DIV/0!</v>
      </c>
      <c r="E101" s="503" t="e">
        <f>(population*coverage*(1/(1-otherwastefraction))/E99)*E71</f>
        <v>#DIV/0!</v>
      </c>
      <c r="F101" s="503" t="e">
        <f>(population*coverage*(1/(1-otherwastefraction))/pobequivalente)*factordistancia</f>
        <v>#DIV/0!</v>
      </c>
      <c r="G101" s="503" t="e">
        <f>(population*coverage*(1/(1-otherwastefraction))/G99)*G71</f>
        <v>#DIV/0!</v>
      </c>
      <c r="H101" s="503" t="e">
        <f>(population*coverage*(1/(1-otherwastefraction))/H99)*H71</f>
        <v>#DIV/0!</v>
      </c>
      <c r="I101" s="1077" t="e">
        <f>(population*coverage*(1/(1-otherwastefraction))/I99)*I71</f>
        <v>#DIV/0!</v>
      </c>
      <c r="J101" s="1077"/>
      <c r="K101" s="1077"/>
      <c r="L101" s="1077"/>
      <c r="M101" s="1077" t="e">
        <f>(population*coverage*(1/(1-otherwastefraction))/M99)*M71</f>
        <v>#DIV/0!</v>
      </c>
      <c r="N101" s="1077"/>
      <c r="O101" s="1077"/>
      <c r="P101" s="1077"/>
      <c r="Q101" s="548"/>
      <c r="S101" s="397"/>
      <c r="T101" s="397" t="s">
        <v>102</v>
      </c>
    </row>
    <row r="102" spans="1:20" x14ac:dyDescent="0.35">
      <c r="A102" s="299"/>
      <c r="B102" s="504" t="str">
        <f>Language!A509</f>
        <v>Contenedores por km [contenedor/km]</v>
      </c>
      <c r="C102" s="539"/>
      <c r="D102" s="539"/>
      <c r="E102" s="539"/>
      <c r="F102" s="358"/>
      <c r="G102" s="718" t="e">
        <f>G92/G101</f>
        <v>#DIV/0!</v>
      </c>
      <c r="H102" s="718" t="e">
        <f>H92/H101</f>
        <v>#DIV/0!</v>
      </c>
      <c r="I102" s="1085" t="e">
        <f>(I92/SUM(J90:L90)/I101)</f>
        <v>#DIV/0!</v>
      </c>
      <c r="J102" s="1085"/>
      <c r="K102" s="1085"/>
      <c r="L102" s="1085"/>
      <c r="M102" s="1085" t="e">
        <f>(M92/SUM(N90:P90)/M101)</f>
        <v>#DIV/0!</v>
      </c>
      <c r="N102" s="1085"/>
      <c r="O102" s="1085"/>
      <c r="P102" s="1085"/>
      <c r="Q102" s="548"/>
    </row>
    <row r="103" spans="1:20" x14ac:dyDescent="0.35">
      <c r="A103" s="299"/>
      <c r="B103" s="504" t="str">
        <f>Language!A510</f>
        <v>Contenedores por km corregido/control [contenedor/km]</v>
      </c>
      <c r="C103" s="539"/>
      <c r="D103" s="539"/>
      <c r="E103" s="539"/>
      <c r="F103" s="358"/>
      <c r="G103" s="718" t="e">
        <f>G94/G101</f>
        <v>#DIV/0!</v>
      </c>
      <c r="H103" s="718" t="e">
        <f>H94/H101</f>
        <v>#DIV/0!</v>
      </c>
      <c r="I103" s="1085" t="e">
        <f>(I94/SUM(J90:L90)/I101)</f>
        <v>#DIV/0!</v>
      </c>
      <c r="J103" s="1085"/>
      <c r="K103" s="1085"/>
      <c r="L103" s="1085"/>
      <c r="M103" s="1085" t="e">
        <f>(M94/SUM(N90:P90)/M101)</f>
        <v>#DIV/0!</v>
      </c>
      <c r="N103" s="1085"/>
      <c r="O103" s="1085"/>
      <c r="P103" s="1085"/>
      <c r="Q103" s="548"/>
    </row>
    <row r="104" spans="1:20" x14ac:dyDescent="0.35">
      <c r="A104" s="299"/>
      <c r="B104" s="504" t="str">
        <f>Language!A511</f>
        <v>Numero de paradas requeridas []</v>
      </c>
      <c r="C104" s="721" t="e">
        <f>C96/C70</f>
        <v>#DIV/0!</v>
      </c>
      <c r="D104" s="721" t="e">
        <f>D96/D70</f>
        <v>#DIV/0!</v>
      </c>
      <c r="E104" s="721" t="e">
        <f>E96/E70</f>
        <v>#DIV/0!</v>
      </c>
      <c r="F104" s="721" t="e">
        <f>F96/F70</f>
        <v>#DIV/0!</v>
      </c>
      <c r="G104" s="721"/>
      <c r="H104" s="721"/>
      <c r="I104" s="721"/>
      <c r="J104" s="721"/>
      <c r="K104" s="721"/>
      <c r="L104" s="721"/>
      <c r="M104" s="721"/>
      <c r="N104" s="721"/>
      <c r="O104" s="721"/>
      <c r="P104" s="721"/>
      <c r="Q104" s="548"/>
    </row>
    <row r="105" spans="1:20" x14ac:dyDescent="0.35">
      <c r="A105" s="299"/>
      <c r="B105" s="504" t="str">
        <f>Language!A512</f>
        <v>Personas por parada [personas]</v>
      </c>
      <c r="C105" s="358">
        <f>C70*HHsize</f>
        <v>0</v>
      </c>
      <c r="D105" s="358">
        <f>D70*HHsize</f>
        <v>0</v>
      </c>
      <c r="E105" s="358">
        <f>E70*HHsize</f>
        <v>0</v>
      </c>
      <c r="F105" s="358">
        <f>F70*HHsize</f>
        <v>0</v>
      </c>
      <c r="G105" s="358"/>
      <c r="H105" s="358"/>
      <c r="I105" s="358"/>
      <c r="J105" s="358"/>
      <c r="K105" s="358"/>
      <c r="L105" s="358"/>
      <c r="M105" s="358"/>
      <c r="N105" s="358"/>
      <c r="O105" s="358"/>
      <c r="P105" s="358"/>
      <c r="Q105" s="548"/>
    </row>
    <row r="106" spans="1:20" x14ac:dyDescent="0.35">
      <c r="A106" s="299"/>
      <c r="B106" s="504" t="str">
        <f>Language!A513</f>
        <v>Paradas por km [paradas/km]</v>
      </c>
      <c r="C106" s="719" t="e">
        <f>C104/C101</f>
        <v>#DIV/0!</v>
      </c>
      <c r="D106" s="719" t="e">
        <f>D104/D101</f>
        <v>#DIV/0!</v>
      </c>
      <c r="E106" s="719" t="e">
        <f>E104/E101</f>
        <v>#DIV/0!</v>
      </c>
      <c r="F106" s="719" t="e">
        <f>F104/F101</f>
        <v>#DIV/0!</v>
      </c>
      <c r="G106" s="719"/>
      <c r="H106" s="719"/>
      <c r="I106" s="719"/>
      <c r="J106" s="719"/>
      <c r="K106" s="719"/>
      <c r="L106" s="719"/>
      <c r="M106" s="719"/>
      <c r="N106" s="719"/>
      <c r="O106" s="719"/>
      <c r="P106" s="719"/>
      <c r="Q106" s="548"/>
    </row>
    <row r="107" spans="1:20" ht="43.5" x14ac:dyDescent="0.35">
      <c r="A107" s="299"/>
      <c r="B107" s="504" t="str">
        <f>Language!A514</f>
        <v>Distancia promedio entre 2 paradas [km]</v>
      </c>
      <c r="C107" s="731" t="e">
        <f>1/C106</f>
        <v>#DIV/0!</v>
      </c>
      <c r="D107" s="731" t="e">
        <f>1/D106</f>
        <v>#DIV/0!</v>
      </c>
      <c r="E107" s="731" t="e">
        <f>1/E106</f>
        <v>#DIV/0!</v>
      </c>
      <c r="F107" s="731" t="e">
        <f>1/F106</f>
        <v>#DIV/0!</v>
      </c>
      <c r="G107" s="731" t="e">
        <f t="shared" ref="G107:I108" si="38">1/G102</f>
        <v>#DIV/0!</v>
      </c>
      <c r="H107" s="731" t="e">
        <f t="shared" si="38"/>
        <v>#DIV/0!</v>
      </c>
      <c r="I107" s="1104" t="e">
        <f t="shared" si="38"/>
        <v>#DIV/0!</v>
      </c>
      <c r="J107" s="1104"/>
      <c r="K107" s="1104"/>
      <c r="L107" s="1104"/>
      <c r="M107" s="1104" t="e">
        <f>1/M102</f>
        <v>#DIV/0!</v>
      </c>
      <c r="N107" s="1104"/>
      <c r="O107" s="1104"/>
      <c r="P107" s="1104"/>
      <c r="Q107" s="730" t="str">
        <f>Language!A527</f>
        <v>Definir la cantidad de familias por parada para que este valor sea correcto. 50-400 m entre las paradas en una ciudad parece adecuado.</v>
      </c>
      <c r="R107" s="506"/>
      <c r="S107" s="397"/>
      <c r="T107" s="397" t="s">
        <v>95</v>
      </c>
    </row>
    <row r="108" spans="1:20" x14ac:dyDescent="0.35">
      <c r="A108" s="299"/>
      <c r="B108" s="504" t="str">
        <f>Language!A515</f>
        <v>Distancia promedio entre 2 paradas corregido/control [km]</v>
      </c>
      <c r="C108" s="731"/>
      <c r="D108" s="731"/>
      <c r="E108" s="731"/>
      <c r="F108" s="731"/>
      <c r="G108" s="731" t="e">
        <f t="shared" si="38"/>
        <v>#DIV/0!</v>
      </c>
      <c r="H108" s="731" t="e">
        <f t="shared" si="38"/>
        <v>#DIV/0!</v>
      </c>
      <c r="I108" s="1104" t="e">
        <f t="shared" si="38"/>
        <v>#DIV/0!</v>
      </c>
      <c r="J108" s="1104"/>
      <c r="K108" s="1104"/>
      <c r="L108" s="1104"/>
      <c r="M108" s="1104" t="e">
        <f>1/M103</f>
        <v>#DIV/0!</v>
      </c>
      <c r="N108" s="1104"/>
      <c r="O108" s="1104"/>
      <c r="P108" s="1104"/>
      <c r="Q108" s="730"/>
      <c r="R108" s="506"/>
      <c r="S108" s="397"/>
      <c r="T108" s="397"/>
    </row>
    <row r="109" spans="1:20" ht="43.5" x14ac:dyDescent="0.35">
      <c r="A109" s="299"/>
      <c r="B109" s="504" t="str">
        <f>Language!A516</f>
        <v>Volumen del camión utilizado para la recolección [m3]</v>
      </c>
      <c r="C109" s="539">
        <f>'3) Parametros_modelo'!$C$38</f>
        <v>0</v>
      </c>
      <c r="D109" s="539">
        <f>'3) Parametros_modelo'!$C$38</f>
        <v>0</v>
      </c>
      <c r="E109" s="539">
        <f>'3) Parametros_modelo'!$C$38</f>
        <v>0</v>
      </c>
      <c r="F109" s="503">
        <f>'3) Parametros_modelo'!C38</f>
        <v>0</v>
      </c>
      <c r="G109" s="503">
        <f>'3) Parametros_modelo'!$C$38</f>
        <v>0</v>
      </c>
      <c r="H109" s="503">
        <f>'3) Parametros_modelo'!$C$38</f>
        <v>0</v>
      </c>
      <c r="I109" s="503"/>
      <c r="J109" s="503">
        <f>'3) Parametros_modelo'!$C$38</f>
        <v>0</v>
      </c>
      <c r="K109" s="503">
        <f>'3) Parametros_modelo'!$C$38</f>
        <v>0</v>
      </c>
      <c r="L109" s="503">
        <f>'3) Parametros_modelo'!$C$38</f>
        <v>0</v>
      </c>
      <c r="M109" s="503"/>
      <c r="N109" s="503">
        <f>'3) Parametros_modelo'!$C$38</f>
        <v>0</v>
      </c>
      <c r="O109" s="503">
        <f>'3) Parametros_modelo'!$C$38</f>
        <v>0</v>
      </c>
      <c r="P109" s="503">
        <f>'3) Parametros_modelo'!$C$38</f>
        <v>0</v>
      </c>
      <c r="Q109" s="548"/>
      <c r="T109" s="397" t="s">
        <v>109</v>
      </c>
    </row>
    <row r="110" spans="1:20" x14ac:dyDescent="0.35">
      <c r="A110" s="299"/>
      <c r="B110" s="504" t="str">
        <f>Language!A517</f>
        <v>Cantidad de contenedores vaciados por viaje [unidades]</v>
      </c>
      <c r="C110" s="539"/>
      <c r="D110" s="539"/>
      <c r="E110" s="539"/>
      <c r="F110" s="503"/>
      <c r="G110" s="503" t="e">
        <f>CEILING(G109/('3) Parametros_modelo'!$C$129*G111/tasacompactacionrecoleccion),1)</f>
        <v>#DIV/0!</v>
      </c>
      <c r="H110" s="503" t="e">
        <f>CEILING(H109/('3) Parametros_modelo'!$C$129*H111/tasacompactacionrecoleccion),1)</f>
        <v>#DIV/0!</v>
      </c>
      <c r="I110" s="503"/>
      <c r="J110" s="503" t="e">
        <f>CEILING(J109/('3) Parametros_modelo'!$C$132*J111/tasacompactacionrecoleccion),1)</f>
        <v>#DIV/0!</v>
      </c>
      <c r="K110" s="503" t="e">
        <f>IF(K9=Language!A406,CEILING(K109/('3) Parametros_modelo'!$C$134*K111/tasacompactacionrecoleccion),1),)</f>
        <v>#VALUE!</v>
      </c>
      <c r="L110" s="503" t="e">
        <f>IF(L9=Language!A406,CEILING(L109/('3) Parametros_modelo'!$C$136*L111/'3) Parametros_modelo'!$C$40),1),)</f>
        <v>#DIV/0!</v>
      </c>
      <c r="M110" s="503"/>
      <c r="N110" s="503" t="e">
        <f>CEILING(N109/('3) Parametros_modelo'!$C$132*N111/tasacompactacionrecoleccion),1)</f>
        <v>#DIV/0!</v>
      </c>
      <c r="O110" s="503" t="e">
        <f>IF(O9=Language!A406,CEILING(O109/('3) Parametros_modelo'!$C$134*O111/tasacompactacionrecoleccion),1),)</f>
        <v>#VALUE!</v>
      </c>
      <c r="P110" s="503" t="e">
        <f>IF(P9=Language!A406,CEILING(P109/('3) Parametros_modelo'!$C$136*P111/'3) Parametros_modelo'!$C$40),1),)</f>
        <v>#DIV/0!</v>
      </c>
      <c r="Q110" s="548"/>
    </row>
    <row r="111" spans="1:20" x14ac:dyDescent="0.35">
      <c r="A111" s="299"/>
      <c r="B111" s="504" t="str">
        <f>Language!A518</f>
        <v>Tasa promedio real de llenado de contenedores [%]</v>
      </c>
      <c r="C111" s="539"/>
      <c r="D111" s="539"/>
      <c r="E111" s="539"/>
      <c r="F111" s="503"/>
      <c r="G111" s="732" t="e">
        <f>IF(G107&gt;G93,'3) Parametros_modelo'!$C$130*G93/G107,'3) Parametros_modelo'!$C$130)</f>
        <v>#DIV/0!</v>
      </c>
      <c r="H111" s="732" t="e">
        <f>IF(H107&gt;H93,'3) Parametros_modelo'!$C$130*H93/H107,'3) Parametros_modelo'!$C$130)</f>
        <v>#DIV/0!</v>
      </c>
      <c r="I111" s="503"/>
      <c r="J111" s="78" t="e">
        <f>IF(J9=Language!A406,J92/J94*'3) Parametros_modelo'!$C$133,"")</f>
        <v>#DIV/0!</v>
      </c>
      <c r="K111" s="78" t="e">
        <f>IF(K9=Language!A406,K92/K94*'3) Parametros_modelo'!$C$135,"")</f>
        <v>#VALUE!</v>
      </c>
      <c r="L111" s="78" t="e">
        <f>IF(L9=Language!A406,L92/L94*'3) Parametros_modelo'!$C$137,"")</f>
        <v>#DIV/0!</v>
      </c>
      <c r="M111" s="503"/>
      <c r="N111" s="78" t="e">
        <f>IF(N9=Language!A406,N92/N94*'3) Parametros_modelo'!$C$133,"")</f>
        <v>#DIV/0!</v>
      </c>
      <c r="O111" s="78" t="e">
        <f>IF(O9=Language!A406,O92/O94*'3) Parametros_modelo'!$C$135,"")</f>
        <v>#VALUE!</v>
      </c>
      <c r="P111" s="78" t="e">
        <f>IF(P9=Language!A406,P92/P94*'3) Parametros_modelo'!$C$137,"")</f>
        <v>#DIV/0!</v>
      </c>
      <c r="Q111" s="548"/>
    </row>
    <row r="112" spans="1:20" x14ac:dyDescent="0.35">
      <c r="A112" s="299"/>
      <c r="B112" s="504" t="str">
        <f>Language!A519</f>
        <v>Numero de paradas de recolección [paradas]</v>
      </c>
      <c r="C112" s="539" t="e">
        <f>CEILING(C109/((C70*HHsize*daycapgeneration*daysofgeneration)/(tasarecoleccion*'3) Parametros_modelo'!$C$27*tasacompactacionrecoleccion)),1)</f>
        <v>#DIV/0!</v>
      </c>
      <c r="D112" s="539" t="e">
        <f>CEILING(D109/((D70*HHsize*daycapgeneration*daysofgeneration)/(tasarecoleccion*'3) Parametros_modelo'!$C$27*tasacompactacionrecoleccion)),1)</f>
        <v>#DIV/0!</v>
      </c>
      <c r="E112" s="539" t="e">
        <f>CEILING(E109/((E70*HHsize*daycapgeneration*daysofgeneration)/(tasarecoleccion*'3) Parametros_modelo'!$C$27*tasacompactacionrecoleccion)),1)</f>
        <v>#DIV/0!</v>
      </c>
      <c r="F112" s="358" t="e">
        <f>CEILING(F109/((F70*HHsize*daycapgeneration*daysofgeneration)/(tasarecoleccion*'3) Parametros_modelo'!C27*tasacompactacionrecoleccion)),1)</f>
        <v>#DIV/0!</v>
      </c>
      <c r="G112" s="358"/>
      <c r="H112" s="358"/>
      <c r="I112" s="358"/>
      <c r="J112" s="358"/>
      <c r="K112" s="358"/>
      <c r="L112" s="358"/>
      <c r="M112" s="358"/>
      <c r="N112" s="358"/>
      <c r="O112" s="358"/>
      <c r="P112" s="358"/>
      <c r="Q112" s="548"/>
    </row>
    <row r="113" spans="1:20" x14ac:dyDescent="0.35">
      <c r="A113" s="299"/>
      <c r="B113" s="504" t="str">
        <f>Language!A520</f>
        <v>Viajes necesarios por semana [viaje/semana]</v>
      </c>
      <c r="C113" s="503" t="e">
        <f>CEILING(C104*tasarecoleccion/C112,1)</f>
        <v>#DIV/0!</v>
      </c>
      <c r="D113" s="503" t="e">
        <f>CEILING(D104*tasarecoleccion/D112,1)</f>
        <v>#DIV/0!</v>
      </c>
      <c r="E113" s="503" t="e">
        <f>CEILING(E104*tasarecoleccion/E112,1)</f>
        <v>#DIV/0!</v>
      </c>
      <c r="F113" s="503" t="e">
        <f>CEILING(F104*tasarecoleccion/F112,1)</f>
        <v>#DIV/0!</v>
      </c>
      <c r="G113" s="503" t="e">
        <f>CEILING(G94*'3) Parametros_modelo'!$C$107/G110,1)</f>
        <v>#DIV/0!</v>
      </c>
      <c r="H113" s="503" t="e">
        <f>CEILING(H94*'3) Parametros_modelo'!$C$107/H110,1)</f>
        <v>#DIV/0!</v>
      </c>
      <c r="I113" s="503"/>
      <c r="J113" s="503" t="e">
        <f>IF(J9=Language!A406, CEILING(J94*'3) Parametros_modelo'!$C$108/J110,1),)</f>
        <v>#DIV/0!</v>
      </c>
      <c r="K113" s="503" t="e">
        <f>IF(K9=Language!A406, CEILING(K94*'3) Parametros_modelo'!$C$109/K110,1),)</f>
        <v>#DIV/0!</v>
      </c>
      <c r="L113" s="503" t="e">
        <f>IF(L9=Language!A406, CEILING(L94*'3) Parametros_modelo'!$C$110/L110,1),)</f>
        <v>#DIV/0!</v>
      </c>
      <c r="M113" s="503"/>
      <c r="N113" s="503" t="e">
        <f>IF(N9=Language!A406, CEILING(N94*'3) Parametros_modelo'!$C$108/N110,1),)</f>
        <v>#DIV/0!</v>
      </c>
      <c r="O113" s="503" t="e">
        <f>IF(O9=Language!A406, CEILING(O94*'3) Parametros_modelo'!$C$109/O110,1),)</f>
        <v>#DIV/0!</v>
      </c>
      <c r="P113" s="503" t="e">
        <f>IF(P9=Language!A406, CEILING(P94*'3) Parametros_modelo'!$C$110/P110,1),)</f>
        <v>#DIV/0!</v>
      </c>
      <c r="Q113" s="548"/>
      <c r="T113" s="397"/>
    </row>
    <row r="114" spans="1:20" x14ac:dyDescent="0.35">
      <c r="A114" s="299"/>
      <c r="B114" s="504" t="str">
        <f>Language!A521</f>
        <v>Distancia promedia recorrida para cada viaje [km]</v>
      </c>
      <c r="C114" s="718" t="e">
        <f>C112*C107</f>
        <v>#DIV/0!</v>
      </c>
      <c r="D114" s="718" t="e">
        <f>D112*D107</f>
        <v>#DIV/0!</v>
      </c>
      <c r="E114" s="718" t="e">
        <f>E112*E107</f>
        <v>#DIV/0!</v>
      </c>
      <c r="F114" s="718" t="e">
        <f>F112*F107</f>
        <v>#DIV/0!</v>
      </c>
      <c r="G114" s="718" t="e">
        <f>G110*G108</f>
        <v>#DIV/0!</v>
      </c>
      <c r="H114" s="718" t="e">
        <f>H110*H108</f>
        <v>#DIV/0!</v>
      </c>
      <c r="I114" s="718"/>
      <c r="J114" s="718" t="e">
        <f>J110*I108</f>
        <v>#DIV/0!</v>
      </c>
      <c r="K114" s="718" t="e">
        <f>K110*I108</f>
        <v>#VALUE!</v>
      </c>
      <c r="L114" s="718" t="e">
        <f>L110*I108</f>
        <v>#DIV/0!</v>
      </c>
      <c r="M114" s="718"/>
      <c r="N114" s="718" t="e">
        <f>N110*M108</f>
        <v>#DIV/0!</v>
      </c>
      <c r="O114" s="718" t="e">
        <f>O110*M108</f>
        <v>#VALUE!</v>
      </c>
      <c r="P114" s="718" t="e">
        <f>P110*M108</f>
        <v>#DIV/0!</v>
      </c>
      <c r="Q114" s="548"/>
    </row>
    <row r="115" spans="1:20" ht="15" thickBot="1" x14ac:dyDescent="0.4">
      <c r="A115" s="299"/>
      <c r="B115" s="507" t="str">
        <f>Language!A522</f>
        <v>Distancia total recorrida por semana [km/semana]</v>
      </c>
      <c r="C115" s="733" t="e">
        <f t="shared" ref="C115:H115" si="39">C114*C113</f>
        <v>#DIV/0!</v>
      </c>
      <c r="D115" s="733" t="e">
        <f t="shared" si="39"/>
        <v>#DIV/0!</v>
      </c>
      <c r="E115" s="733" t="e">
        <f t="shared" si="39"/>
        <v>#DIV/0!</v>
      </c>
      <c r="F115" s="733" t="e">
        <f t="shared" si="39"/>
        <v>#DIV/0!</v>
      </c>
      <c r="G115" s="733" t="e">
        <f t="shared" si="39"/>
        <v>#DIV/0!</v>
      </c>
      <c r="H115" s="733" t="e">
        <f t="shared" si="39"/>
        <v>#DIV/0!</v>
      </c>
      <c r="I115" s="733"/>
      <c r="J115" s="733" t="e">
        <f>J114*J113</f>
        <v>#DIV/0!</v>
      </c>
      <c r="K115" s="733" t="e">
        <f>K114*K113</f>
        <v>#VALUE!</v>
      </c>
      <c r="L115" s="733" t="e">
        <f>L114*L113</f>
        <v>#DIV/0!</v>
      </c>
      <c r="M115" s="733"/>
      <c r="N115" s="733" t="e">
        <f>N114*N113</f>
        <v>#DIV/0!</v>
      </c>
      <c r="O115" s="733" t="e">
        <f>O114*O113</f>
        <v>#VALUE!</v>
      </c>
      <c r="P115" s="733" t="e">
        <f>P114*P113</f>
        <v>#DIV/0!</v>
      </c>
      <c r="Q115" s="734"/>
    </row>
    <row r="116" spans="1:20" ht="15" thickBot="1" x14ac:dyDescent="0.4">
      <c r="A116" s="299"/>
    </row>
    <row r="117" spans="1:20" x14ac:dyDescent="0.35">
      <c r="A117" s="299"/>
      <c r="B117" s="513" t="str">
        <f>Language!A528</f>
        <v>Estimación de tiempos desde la zona de recolección a la estación de transferencia o espacio de disposición final</v>
      </c>
      <c r="C117" s="735"/>
      <c r="D117" s="735"/>
      <c r="E117" s="735"/>
      <c r="F117" s="735"/>
      <c r="G117" s="735"/>
      <c r="H117" s="735"/>
      <c r="I117" s="735"/>
      <c r="J117" s="735"/>
      <c r="K117" s="735"/>
      <c r="L117" s="735"/>
      <c r="M117" s="735"/>
      <c r="N117" s="735"/>
      <c r="O117" s="735"/>
      <c r="P117" s="735"/>
      <c r="Q117" s="736"/>
      <c r="R117" s="737"/>
    </row>
    <row r="118" spans="1:20" x14ac:dyDescent="0.35">
      <c r="A118" s="299"/>
      <c r="B118" s="498" t="str">
        <f>Language!A529</f>
        <v>Tiempo total necesario para recogida de RS [minutos]</v>
      </c>
      <c r="C118" s="358" t="e">
        <f>C112*C73</f>
        <v>#DIV/0!</v>
      </c>
      <c r="D118" s="358" t="e">
        <f>D112*D73</f>
        <v>#DIV/0!</v>
      </c>
      <c r="E118" s="358" t="e">
        <f>E112*E73</f>
        <v>#DIV/0!</v>
      </c>
      <c r="F118" s="358" t="e">
        <f>F112*F73</f>
        <v>#DIV/0!</v>
      </c>
      <c r="G118" s="358" t="e">
        <f>G110*G73</f>
        <v>#DIV/0!</v>
      </c>
      <c r="H118" s="358" t="e">
        <f>H110*H73</f>
        <v>#DIV/0!</v>
      </c>
      <c r="I118" s="358"/>
      <c r="J118" s="358" t="e">
        <f>J110*I73</f>
        <v>#DIV/0!</v>
      </c>
      <c r="K118" s="358" t="e">
        <f>K110*I73</f>
        <v>#VALUE!</v>
      </c>
      <c r="L118" s="358" t="e">
        <f>L110*I73</f>
        <v>#DIV/0!</v>
      </c>
      <c r="M118" s="358"/>
      <c r="N118" s="358" t="e">
        <f>N110*M73</f>
        <v>#DIV/0!</v>
      </c>
      <c r="O118" s="358" t="e">
        <f>O110*M73</f>
        <v>#VALUE!</v>
      </c>
      <c r="P118" s="358" t="e">
        <f>P110*M73</f>
        <v>#DIV/0!</v>
      </c>
      <c r="Q118" s="548"/>
    </row>
    <row r="119" spans="1:20" x14ac:dyDescent="0.35">
      <c r="A119" s="299"/>
      <c r="B119" s="498" t="str">
        <f>Language!A530</f>
        <v>Tiempo necesario por viaje para recorrido en zona urbana [horas]</v>
      </c>
      <c r="C119" s="715" t="e">
        <f>C114/'3) Parametros_modelo'!$C$80</f>
        <v>#DIV/0!</v>
      </c>
      <c r="D119" s="715" t="e">
        <f>D114/'3) Parametros_modelo'!$C$80</f>
        <v>#DIV/0!</v>
      </c>
      <c r="E119" s="715" t="e">
        <f>E114/'3) Parametros_modelo'!$C$80</f>
        <v>#DIV/0!</v>
      </c>
      <c r="F119" s="718" t="e">
        <f>F114/'3) Parametros_modelo'!C80</f>
        <v>#DIV/0!</v>
      </c>
      <c r="G119" s="718" t="e">
        <f>G114/'3) Parametros_modelo'!$C$80</f>
        <v>#DIV/0!</v>
      </c>
      <c r="H119" s="718" t="e">
        <f>H114/'3) Parametros_modelo'!$C$80</f>
        <v>#DIV/0!</v>
      </c>
      <c r="I119" s="718"/>
      <c r="J119" s="718" t="e">
        <f>J114/'3) Parametros_modelo'!$C$80</f>
        <v>#DIV/0!</v>
      </c>
      <c r="K119" s="718" t="e">
        <f>K114/'3) Parametros_modelo'!$C$80</f>
        <v>#VALUE!</v>
      </c>
      <c r="L119" s="718" t="e">
        <f>L114/'3) Parametros_modelo'!$C$80</f>
        <v>#DIV/0!</v>
      </c>
      <c r="M119" s="718"/>
      <c r="N119" s="718" t="e">
        <f>N114/'3) Parametros_modelo'!$C$80</f>
        <v>#DIV/0!</v>
      </c>
      <c r="O119" s="718" t="e">
        <f>O114/'3) Parametros_modelo'!$C$80</f>
        <v>#VALUE!</v>
      </c>
      <c r="P119" s="718" t="e">
        <f>P114/'3) Parametros_modelo'!$C$80</f>
        <v>#DIV/0!</v>
      </c>
      <c r="Q119" s="548"/>
    </row>
    <row r="120" spans="1:20" x14ac:dyDescent="0.35">
      <c r="A120" s="299"/>
      <c r="B120" s="498" t="str">
        <f>Language!A531</f>
        <v>Tiempo necesario por viaje para recorrido en zona urbana [minutos]</v>
      </c>
      <c r="C120" s="718" t="e">
        <f>C119*60</f>
        <v>#DIV/0!</v>
      </c>
      <c r="D120" s="718" t="e">
        <f t="shared" ref="D120:P120" si="40">D119*60</f>
        <v>#DIV/0!</v>
      </c>
      <c r="E120" s="718" t="e">
        <f t="shared" ref="E120" si="41">E119*60</f>
        <v>#DIV/0!</v>
      </c>
      <c r="F120" s="718" t="e">
        <f t="shared" si="40"/>
        <v>#DIV/0!</v>
      </c>
      <c r="G120" s="718" t="e">
        <f t="shared" ref="G120" si="42">G119*60</f>
        <v>#DIV/0!</v>
      </c>
      <c r="H120" s="718" t="e">
        <f t="shared" si="40"/>
        <v>#DIV/0!</v>
      </c>
      <c r="I120" s="718"/>
      <c r="J120" s="718" t="e">
        <f t="shared" ref="J120:L120" si="43">J119*60</f>
        <v>#DIV/0!</v>
      </c>
      <c r="K120" s="718" t="e">
        <f t="shared" si="43"/>
        <v>#VALUE!</v>
      </c>
      <c r="L120" s="718" t="e">
        <f t="shared" si="43"/>
        <v>#DIV/0!</v>
      </c>
      <c r="M120" s="718"/>
      <c r="N120" s="718" t="e">
        <f t="shared" si="40"/>
        <v>#DIV/0!</v>
      </c>
      <c r="O120" s="718" t="e">
        <f t="shared" si="40"/>
        <v>#VALUE!</v>
      </c>
      <c r="P120" s="718" t="e">
        <f t="shared" si="40"/>
        <v>#DIV/0!</v>
      </c>
      <c r="Q120" s="548"/>
    </row>
    <row r="121" spans="1:20" x14ac:dyDescent="0.35">
      <c r="A121" s="299"/>
      <c r="B121" s="498" t="str">
        <f>Language!A532</f>
        <v>Distancia [km]</v>
      </c>
      <c r="C121" s="539">
        <f>IF(C6=Language!A406,'3) Parametros_modelo'!$C$76,'3) Parametros_modelo'!$C$75)</f>
        <v>0</v>
      </c>
      <c r="D121" s="539">
        <f>IF(D6=Language!A406,'3) Parametros_modelo'!$C$76,'3) Parametros_modelo'!$C$75)</f>
        <v>0</v>
      </c>
      <c r="E121" s="539">
        <f>IF(E6=Language!A406,'3) Parametros_modelo'!$C$76,'3) Parametros_modelo'!$C$75)</f>
        <v>0</v>
      </c>
      <c r="F121" s="718">
        <f>IF(F6=Language!A406,'3) Parametros_modelo'!C76,'3) Parametros_modelo'!C75)</f>
        <v>0</v>
      </c>
      <c r="G121" s="718">
        <f>IF(G6=Language!A406,'3) Parametros_modelo'!$C$76,'3) Parametros_modelo'!$C$75)</f>
        <v>0</v>
      </c>
      <c r="H121" s="718">
        <f>IF(H6=Language!A406,'3) Parametros_modelo'!$C$76,'3) Parametros_modelo'!$C$75)</f>
        <v>0</v>
      </c>
      <c r="I121" s="718"/>
      <c r="J121" s="718">
        <f>IF(I6=Language!A406,'3) Parametros_modelo'!$C$76,'3) Parametros_modelo'!$C$75)</f>
        <v>0</v>
      </c>
      <c r="K121" s="718">
        <f>IF(I6=Language!A406,'3) Parametros_modelo'!$C$78,'3) Parametros_modelo'!$C$75)</f>
        <v>0</v>
      </c>
      <c r="L121" s="718">
        <f>IF(I6=Language!A406,'3) Parametros_modelo'!$C$79,'3) Parametros_modelo'!$C$75)</f>
        <v>0</v>
      </c>
      <c r="M121" s="718"/>
      <c r="N121" s="718">
        <f>IF(M6=Language!A406,'3) Parametros_modelo'!$C$76,'3) Parametros_modelo'!$C$75)</f>
        <v>0</v>
      </c>
      <c r="O121" s="718">
        <f>IF(M6=Language!A406,'3) Parametros_modelo'!$C$78,'3) Parametros_modelo'!$C$75)</f>
        <v>0</v>
      </c>
      <c r="P121" s="718">
        <f>IF(M6=Language!A406,'3) Parametros_modelo'!$C$79,'3) Parametros_modelo'!$C$75)</f>
        <v>0</v>
      </c>
      <c r="Q121" s="548"/>
    </row>
    <row r="122" spans="1:20" x14ac:dyDescent="0.35">
      <c r="A122" s="299"/>
      <c r="B122" s="498"/>
      <c r="C122" s="539"/>
      <c r="D122" s="539"/>
      <c r="E122" s="539"/>
      <c r="F122" s="718"/>
      <c r="G122" s="718"/>
      <c r="H122" s="718"/>
      <c r="I122" s="718"/>
      <c r="J122" s="718"/>
      <c r="K122" s="718"/>
      <c r="L122" s="718"/>
      <c r="M122" s="718"/>
      <c r="N122" s="718"/>
      <c r="O122" s="718"/>
      <c r="P122" s="718"/>
      <c r="Q122" s="548"/>
    </row>
    <row r="123" spans="1:20" x14ac:dyDescent="0.35">
      <c r="A123" s="299"/>
      <c r="B123" s="498" t="str">
        <f>Language!A533</f>
        <v>Tiempo necesario fuera de la zona urbana ida y vuelta [horas]</v>
      </c>
      <c r="C123" s="539">
        <f>C121*2/'3) Parametros_modelo'!$C$81</f>
        <v>0</v>
      </c>
      <c r="D123" s="539">
        <f>D121*2/'3) Parametros_modelo'!$C$81</f>
        <v>0</v>
      </c>
      <c r="E123" s="539">
        <f>E121*2/'3) Parametros_modelo'!$C$81</f>
        <v>0</v>
      </c>
      <c r="F123" s="358">
        <f>F121*2/'3) Parametros_modelo'!C81</f>
        <v>0</v>
      </c>
      <c r="G123" s="358">
        <f>G121*2/'3) Parametros_modelo'!$C$81</f>
        <v>0</v>
      </c>
      <c r="H123" s="358">
        <f>H121*2/'3) Parametros_modelo'!$C$81</f>
        <v>0</v>
      </c>
      <c r="I123" s="358"/>
      <c r="J123" s="358">
        <f>J121*2/'3) Parametros_modelo'!$C$81</f>
        <v>0</v>
      </c>
      <c r="K123" s="358">
        <f>K121*2/'3) Parametros_modelo'!$C$81</f>
        <v>0</v>
      </c>
      <c r="L123" s="358">
        <f>L121*2/'3) Parametros_modelo'!$C$81</f>
        <v>0</v>
      </c>
      <c r="M123" s="358"/>
      <c r="N123" s="358">
        <f>N121*2/'3) Parametros_modelo'!$C$81</f>
        <v>0</v>
      </c>
      <c r="O123" s="358">
        <f>O121*2/'3) Parametros_modelo'!$C$81</f>
        <v>0</v>
      </c>
      <c r="P123" s="358">
        <f>P121*2/'3) Parametros_modelo'!$C$81</f>
        <v>0</v>
      </c>
      <c r="Q123" s="548"/>
    </row>
    <row r="124" spans="1:20" x14ac:dyDescent="0.35">
      <c r="A124" s="299"/>
      <c r="B124" s="498" t="str">
        <f>Language!A534</f>
        <v>Tiempo necesario fuera de la zona urbana ida y vuelta [minutos]</v>
      </c>
      <c r="C124" s="358">
        <f t="shared" ref="C124" si="44">C123*60</f>
        <v>0</v>
      </c>
      <c r="D124" s="358">
        <f t="shared" ref="D124:P124" si="45">D123*60</f>
        <v>0</v>
      </c>
      <c r="E124" s="358">
        <f t="shared" ref="E124" si="46">E123*60</f>
        <v>0</v>
      </c>
      <c r="F124" s="358">
        <f t="shared" si="45"/>
        <v>0</v>
      </c>
      <c r="G124" s="358">
        <f t="shared" ref="G124" si="47">G123*60</f>
        <v>0</v>
      </c>
      <c r="H124" s="358">
        <f t="shared" si="45"/>
        <v>0</v>
      </c>
      <c r="I124" s="358"/>
      <c r="J124" s="358">
        <f t="shared" ref="J124:L124" si="48">J123*60</f>
        <v>0</v>
      </c>
      <c r="K124" s="358">
        <f t="shared" si="48"/>
        <v>0</v>
      </c>
      <c r="L124" s="358">
        <f t="shared" si="48"/>
        <v>0</v>
      </c>
      <c r="M124" s="358"/>
      <c r="N124" s="358">
        <f t="shared" si="45"/>
        <v>0</v>
      </c>
      <c r="O124" s="358">
        <f t="shared" si="45"/>
        <v>0</v>
      </c>
      <c r="P124" s="358">
        <f t="shared" si="45"/>
        <v>0</v>
      </c>
      <c r="Q124" s="548"/>
    </row>
    <row r="125" spans="1:20" x14ac:dyDescent="0.35">
      <c r="A125" s="299"/>
      <c r="B125" s="498" t="str">
        <f>Language!A535</f>
        <v>Tiempo total por viaje [minutos/viaje]</v>
      </c>
      <c r="C125" s="718" t="e">
        <f>C124+C120+C118+C74</f>
        <v>#DIV/0!</v>
      </c>
      <c r="D125" s="718" t="e">
        <f t="shared" ref="D125:H125" si="49">D124+D120+D118+D74</f>
        <v>#DIV/0!</v>
      </c>
      <c r="E125" s="718" t="e">
        <f t="shared" si="49"/>
        <v>#DIV/0!</v>
      </c>
      <c r="F125" s="718" t="e">
        <f t="shared" si="49"/>
        <v>#DIV/0!</v>
      </c>
      <c r="G125" s="718" t="e">
        <f t="shared" si="49"/>
        <v>#DIV/0!</v>
      </c>
      <c r="H125" s="718" t="e">
        <f t="shared" si="49"/>
        <v>#DIV/0!</v>
      </c>
      <c r="I125" s="718"/>
      <c r="J125" s="718" t="e">
        <f>J124+J120+J118+I74</f>
        <v>#DIV/0!</v>
      </c>
      <c r="K125" s="718" t="e">
        <f>K124+K120+K118+I74</f>
        <v>#VALUE!</v>
      </c>
      <c r="L125" s="718" t="e">
        <f>L124+L120+L118+I74</f>
        <v>#DIV/0!</v>
      </c>
      <c r="M125" s="718"/>
      <c r="N125" s="718" t="e">
        <f>N124+N120+N118+M74</f>
        <v>#DIV/0!</v>
      </c>
      <c r="O125" s="718" t="e">
        <f>O124+O120+O118+M74</f>
        <v>#VALUE!</v>
      </c>
      <c r="P125" s="718" t="e">
        <f>P124+P120+P118+M74</f>
        <v>#DIV/0!</v>
      </c>
      <c r="Q125" s="548"/>
    </row>
    <row r="126" spans="1:20" x14ac:dyDescent="0.35">
      <c r="A126" s="299"/>
      <c r="B126" s="498" t="str">
        <f>Language!A536</f>
        <v>Tiempo total por viaje [horas/viaje]</v>
      </c>
      <c r="C126" s="719" t="e">
        <f>C125/60</f>
        <v>#DIV/0!</v>
      </c>
      <c r="D126" s="719" t="e">
        <f t="shared" ref="D126:P126" si="50">D125/60</f>
        <v>#DIV/0!</v>
      </c>
      <c r="E126" s="719" t="e">
        <f t="shared" ref="E126" si="51">E125/60</f>
        <v>#DIV/0!</v>
      </c>
      <c r="F126" s="719" t="e">
        <f t="shared" si="50"/>
        <v>#DIV/0!</v>
      </c>
      <c r="G126" s="719" t="e">
        <f t="shared" ref="G126" si="52">G125/60</f>
        <v>#DIV/0!</v>
      </c>
      <c r="H126" s="719" t="e">
        <f>H125/60</f>
        <v>#DIV/0!</v>
      </c>
      <c r="I126" s="719"/>
      <c r="J126" s="719" t="e">
        <f t="shared" ref="J126:L126" si="53">J125/60</f>
        <v>#DIV/0!</v>
      </c>
      <c r="K126" s="719" t="e">
        <f t="shared" si="53"/>
        <v>#VALUE!</v>
      </c>
      <c r="L126" s="719" t="e">
        <f t="shared" si="53"/>
        <v>#DIV/0!</v>
      </c>
      <c r="M126" s="719"/>
      <c r="N126" s="719" t="e">
        <f t="shared" si="50"/>
        <v>#DIV/0!</v>
      </c>
      <c r="O126" s="719" t="e">
        <f t="shared" si="50"/>
        <v>#VALUE!</v>
      </c>
      <c r="P126" s="719" t="e">
        <f t="shared" si="50"/>
        <v>#DIV/0!</v>
      </c>
      <c r="Q126" s="548"/>
    </row>
    <row r="127" spans="1:20" x14ac:dyDescent="0.35">
      <c r="A127" s="299"/>
      <c r="B127" s="498" t="str">
        <f>Language!A537</f>
        <v>Tiempo necesario para ida y vuelta al parqueo [h]</v>
      </c>
      <c r="C127" s="718">
        <f>2*'3) Parametros_modelo'!$C$74/'3) Parametros_modelo'!$C$80</f>
        <v>0</v>
      </c>
      <c r="D127" s="718">
        <f>2*'3) Parametros_modelo'!$C$74/'3) Parametros_modelo'!$C$80</f>
        <v>0</v>
      </c>
      <c r="E127" s="718">
        <f>2*'3) Parametros_modelo'!$C$74/'3) Parametros_modelo'!$C$80</f>
        <v>0</v>
      </c>
      <c r="F127" s="718">
        <f>2*'3) Parametros_modelo'!$C$74/'3) Parametros_modelo'!$C$80</f>
        <v>0</v>
      </c>
      <c r="G127" s="718">
        <f>2*'3) Parametros_modelo'!$C$74/'3) Parametros_modelo'!$C$80</f>
        <v>0</v>
      </c>
      <c r="H127" s="718">
        <f>2*'3) Parametros_modelo'!$C$74/'3) Parametros_modelo'!$C$80</f>
        <v>0</v>
      </c>
      <c r="I127" s="718"/>
      <c r="J127" s="718">
        <f>2*'3) Parametros_modelo'!$C$74/'3) Parametros_modelo'!$C$80</f>
        <v>0</v>
      </c>
      <c r="K127" s="718">
        <f>2*'3) Parametros_modelo'!$C$74/'3) Parametros_modelo'!$C$80</f>
        <v>0</v>
      </c>
      <c r="L127" s="718">
        <f>2*'3) Parametros_modelo'!$C$74/'3) Parametros_modelo'!$C$80</f>
        <v>0</v>
      </c>
      <c r="M127" s="718"/>
      <c r="N127" s="718">
        <f>2*'3) Parametros_modelo'!$C$74/'3) Parametros_modelo'!$C$80</f>
        <v>0</v>
      </c>
      <c r="O127" s="718">
        <f>2*'3) Parametros_modelo'!$C$74/'3) Parametros_modelo'!$C$80</f>
        <v>0</v>
      </c>
      <c r="P127" s="718">
        <f>2*'3) Parametros_modelo'!$C$74/'3) Parametros_modelo'!$C$80</f>
        <v>0</v>
      </c>
      <c r="Q127" s="548"/>
    </row>
    <row r="128" spans="1:20" x14ac:dyDescent="0.35">
      <c r="A128" s="299"/>
      <c r="B128" s="498" t="str">
        <f>Language!A538</f>
        <v>Tasa de disponibilidad de tiempo de equipo de recolección [%]</v>
      </c>
      <c r="C128" s="16">
        <v>0.9</v>
      </c>
      <c r="D128" s="16">
        <v>0.9</v>
      </c>
      <c r="E128" s="16">
        <v>0.9</v>
      </c>
      <c r="F128" s="16">
        <v>0.9</v>
      </c>
      <c r="G128" s="16">
        <v>0.9</v>
      </c>
      <c r="H128" s="16">
        <v>0.9</v>
      </c>
      <c r="I128" s="16"/>
      <c r="J128" s="16">
        <v>0.9</v>
      </c>
      <c r="K128" s="16">
        <v>0.9</v>
      </c>
      <c r="L128" s="16">
        <v>0.9</v>
      </c>
      <c r="M128" s="16"/>
      <c r="N128" s="16">
        <v>0.9</v>
      </c>
      <c r="O128" s="16">
        <v>0.9</v>
      </c>
      <c r="P128" s="16">
        <v>0.9</v>
      </c>
      <c r="Q128" s="730" t="str">
        <f>Language!A542</f>
        <v>Por defecto = 90%</v>
      </c>
      <c r="R128" s="506"/>
    </row>
    <row r="129" spans="1:20" ht="72.5" x14ac:dyDescent="0.35">
      <c r="A129" s="299"/>
      <c r="B129" s="498" t="str">
        <f>Language!A539</f>
        <v>Cantidad de viajes por turnos de trabajo diario [viajes]</v>
      </c>
      <c r="C129" s="539" t="e">
        <f>FLOOR((C128*'3) Parametros_modelo'!$C$86-C127)/C126,1)</f>
        <v>#DIV/0!</v>
      </c>
      <c r="D129" s="539" t="e">
        <f>FLOOR((D128*'3) Parametros_modelo'!$C$86-D127)/D126,1)</f>
        <v>#DIV/0!</v>
      </c>
      <c r="E129" s="539" t="e">
        <f>FLOOR((E128*'3) Parametros_modelo'!$C$86-E127)/E126,1)</f>
        <v>#DIV/0!</v>
      </c>
      <c r="F129" s="539" t="e">
        <f>FLOOR((F128*'3) Parametros_modelo'!$C$86-F127)/F126,1)</f>
        <v>#DIV/0!</v>
      </c>
      <c r="G129" s="539" t="e">
        <f>FLOOR((G128*'3) Parametros_modelo'!$C$86-G127)/G126,1)</f>
        <v>#DIV/0!</v>
      </c>
      <c r="H129" s="539" t="e">
        <f>FLOOR((H128*'3) Parametros_modelo'!$C$86-H127)/H126,1)</f>
        <v>#DIV/0!</v>
      </c>
      <c r="I129" s="539"/>
      <c r="J129" s="539" t="e">
        <f>FLOOR((J128*'3) Parametros_modelo'!$C$86-J127)/J126,1)</f>
        <v>#DIV/0!</v>
      </c>
      <c r="K129" s="539" t="e">
        <f>FLOOR((K128*'3) Parametros_modelo'!$C$86-K127)/K126,1)</f>
        <v>#VALUE!</v>
      </c>
      <c r="L129" s="539" t="e">
        <f>FLOOR((L128*'3) Parametros_modelo'!$C$86-L127)/L126,1)</f>
        <v>#DIV/0!</v>
      </c>
      <c r="M129" s="539"/>
      <c r="N129" s="539" t="e">
        <f>FLOOR((N128*'3) Parametros_modelo'!$C$86-N127)/N126,1)</f>
        <v>#DIV/0!</v>
      </c>
      <c r="O129" s="539" t="e">
        <f>FLOOR((O128*'3) Parametros_modelo'!$C$86-O127)/O126,1)</f>
        <v>#VALUE!</v>
      </c>
      <c r="P129" s="539" t="e">
        <f>FLOOR((P128*'3) Parametros_modelo'!$C$86-P127)/P126,1)</f>
        <v>#DIV/0!</v>
      </c>
      <c r="Q129" s="730" t="str">
        <f>Language!A543</f>
        <v>Si este valor es cero, se puede revisar el tiempo total para un viaje, si no es mucho mayor al tiempo máximo por día entonces es realista realizar horarios flexibles (unos días más y otros menos). El modelo sigue valido.</v>
      </c>
      <c r="R129" s="506"/>
    </row>
    <row r="130" spans="1:20" x14ac:dyDescent="0.35">
      <c r="A130" s="299"/>
      <c r="B130" s="498" t="str">
        <f>Language!A540</f>
        <v>Cantidad de viajes por turnos de trabajo diario NO RONDEADO [viajes]</v>
      </c>
      <c r="C130" s="715" t="e">
        <f>((C128*'3) Parametros_modelo'!$C$86)-C127)/C126</f>
        <v>#DIV/0!</v>
      </c>
      <c r="D130" s="715" t="e">
        <f>((D128*'3) Parametros_modelo'!$C$86)-D127)/D126</f>
        <v>#DIV/0!</v>
      </c>
      <c r="E130" s="715" t="e">
        <f>((E128*'3) Parametros_modelo'!$C$86)-E127)/E126</f>
        <v>#DIV/0!</v>
      </c>
      <c r="F130" s="715" t="e">
        <f>((F128*'3) Parametros_modelo'!$C$86)-F127)/F126</f>
        <v>#DIV/0!</v>
      </c>
      <c r="G130" s="715" t="e">
        <f>((G128*'3) Parametros_modelo'!$C$86)-G127)/G126</f>
        <v>#DIV/0!</v>
      </c>
      <c r="H130" s="715" t="e">
        <f>((H128*'3) Parametros_modelo'!$C$86)-H127)/H126</f>
        <v>#DIV/0!</v>
      </c>
      <c r="I130" s="715"/>
      <c r="J130" s="715" t="e">
        <f>((J128*'3) Parametros_modelo'!$C$86)-J127)/J126</f>
        <v>#DIV/0!</v>
      </c>
      <c r="K130" s="715" t="e">
        <f>((K128*'3) Parametros_modelo'!$C$86)-K127)/K126</f>
        <v>#VALUE!</v>
      </c>
      <c r="L130" s="715" t="e">
        <f>((L128*'3) Parametros_modelo'!$C$86)-L127)/L126</f>
        <v>#DIV/0!</v>
      </c>
      <c r="M130" s="715"/>
      <c r="N130" s="715" t="e">
        <f>((N128*'3) Parametros_modelo'!$C$86)-N127)/N126</f>
        <v>#DIV/0!</v>
      </c>
      <c r="O130" s="715" t="e">
        <f>((O128*'3) Parametros_modelo'!$C$86)-O127)/O126</f>
        <v>#VALUE!</v>
      </c>
      <c r="P130" s="715" t="e">
        <f>((P128*'3) Parametros_modelo'!$C$86)-P127)/P126</f>
        <v>#DIV/0!</v>
      </c>
      <c r="Q130" s="548"/>
      <c r="S130" s="397"/>
      <c r="T130" s="397"/>
    </row>
    <row r="131" spans="1:20" ht="15" thickBot="1" x14ac:dyDescent="0.4">
      <c r="A131" s="299"/>
      <c r="B131" s="672" t="str">
        <f>Language!A541</f>
        <v>Viajes por semana laboral posible por persona [viajes/semana]</v>
      </c>
      <c r="C131" s="738" t="e">
        <f>C130*daysofwork</f>
        <v>#DIV/0!</v>
      </c>
      <c r="D131" s="738" t="e">
        <f t="shared" ref="D131:H131" si="54">D130*daysofwork</f>
        <v>#DIV/0!</v>
      </c>
      <c r="E131" s="738" t="e">
        <f>E130*daysofwork</f>
        <v>#DIV/0!</v>
      </c>
      <c r="F131" s="738" t="e">
        <f t="shared" si="54"/>
        <v>#DIV/0!</v>
      </c>
      <c r="G131" s="738" t="e">
        <f t="shared" si="54"/>
        <v>#DIV/0!</v>
      </c>
      <c r="H131" s="738" t="e">
        <f t="shared" si="54"/>
        <v>#DIV/0!</v>
      </c>
      <c r="I131" s="738"/>
      <c r="J131" s="738" t="e">
        <f>J130*daysofwork</f>
        <v>#DIV/0!</v>
      </c>
      <c r="K131" s="738" t="e">
        <f>K130*daysofwork</f>
        <v>#VALUE!</v>
      </c>
      <c r="L131" s="738" t="e">
        <f>L130*daysofwork</f>
        <v>#DIV/0!</v>
      </c>
      <c r="M131" s="738"/>
      <c r="N131" s="738" t="e">
        <f>N130*daysofwork</f>
        <v>#DIV/0!</v>
      </c>
      <c r="O131" s="738" t="e">
        <f>O130*daysofwork</f>
        <v>#VALUE!</v>
      </c>
      <c r="P131" s="738" t="e">
        <f>P130*daysofwork</f>
        <v>#DIV/0!</v>
      </c>
      <c r="Q131" s="734"/>
    </row>
    <row r="132" spans="1:20" ht="15" thickBot="1" x14ac:dyDescent="0.4">
      <c r="A132" s="299"/>
      <c r="B132" s="739"/>
      <c r="C132" s="739"/>
      <c r="D132" s="739"/>
      <c r="E132" s="739"/>
    </row>
    <row r="133" spans="1:20" x14ac:dyDescent="0.35">
      <c r="A133" s="299"/>
      <c r="B133" s="740" t="str">
        <f>Language!A544</f>
        <v>Tiempos de recolección</v>
      </c>
      <c r="C133" s="741"/>
      <c r="D133" s="741"/>
      <c r="E133" s="741"/>
      <c r="F133" s="494"/>
      <c r="G133" s="494"/>
      <c r="H133" s="494"/>
      <c r="I133" s="494"/>
      <c r="J133" s="494"/>
      <c r="K133" s="494"/>
      <c r="L133" s="494"/>
      <c r="M133" s="494"/>
      <c r="N133" s="494"/>
      <c r="O133" s="494"/>
      <c r="P133" s="494"/>
      <c r="Q133" s="495"/>
    </row>
    <row r="134" spans="1:20" x14ac:dyDescent="0.35">
      <c r="A134" s="299"/>
      <c r="B134" s="504" t="str">
        <f>Language!A545</f>
        <v>Tiempo de recolección efectivo por viaje [minutos]</v>
      </c>
      <c r="C134" s="718" t="e">
        <f t="shared" ref="C134:H134" si="55">C118+C120</f>
        <v>#DIV/0!</v>
      </c>
      <c r="D134" s="718" t="e">
        <f t="shared" si="55"/>
        <v>#DIV/0!</v>
      </c>
      <c r="E134" s="718" t="e">
        <f t="shared" si="55"/>
        <v>#DIV/0!</v>
      </c>
      <c r="F134" s="718" t="e">
        <f t="shared" si="55"/>
        <v>#DIV/0!</v>
      </c>
      <c r="G134" s="718" t="e">
        <f t="shared" si="55"/>
        <v>#DIV/0!</v>
      </c>
      <c r="H134" s="718" t="e">
        <f t="shared" si="55"/>
        <v>#DIV/0!</v>
      </c>
      <c r="I134" s="718"/>
      <c r="J134" s="718" t="e">
        <f>J118+J120</f>
        <v>#DIV/0!</v>
      </c>
      <c r="K134" s="718" t="e">
        <f>K118+K120</f>
        <v>#VALUE!</v>
      </c>
      <c r="L134" s="718" t="e">
        <f>L118+L120</f>
        <v>#DIV/0!</v>
      </c>
      <c r="M134" s="718"/>
      <c r="N134" s="718" t="e">
        <f>N118+N120</f>
        <v>#DIV/0!</v>
      </c>
      <c r="O134" s="718" t="e">
        <f>O118+O120</f>
        <v>#VALUE!</v>
      </c>
      <c r="P134" s="718" t="e">
        <f>P118+P120</f>
        <v>#DIV/0!</v>
      </c>
      <c r="Q134" s="548"/>
    </row>
    <row r="135" spans="1:20" x14ac:dyDescent="0.35">
      <c r="A135" s="299"/>
      <c r="B135" s="504" t="str">
        <f>Language!A546</f>
        <v>Tiempo de viaje a sitio de disposición o estación de transferencia [minutos]</v>
      </c>
      <c r="C135" s="503">
        <f t="shared" ref="C135:H135" si="56">C124</f>
        <v>0</v>
      </c>
      <c r="D135" s="503">
        <f t="shared" si="56"/>
        <v>0</v>
      </c>
      <c r="E135" s="503">
        <f t="shared" si="56"/>
        <v>0</v>
      </c>
      <c r="F135" s="503">
        <f t="shared" si="56"/>
        <v>0</v>
      </c>
      <c r="G135" s="503">
        <f t="shared" si="56"/>
        <v>0</v>
      </c>
      <c r="H135" s="503">
        <f t="shared" si="56"/>
        <v>0</v>
      </c>
      <c r="I135" s="503"/>
      <c r="J135" s="503">
        <f t="shared" ref="J135:L135" si="57">J124</f>
        <v>0</v>
      </c>
      <c r="K135" s="503">
        <f t="shared" si="57"/>
        <v>0</v>
      </c>
      <c r="L135" s="503">
        <f t="shared" si="57"/>
        <v>0</v>
      </c>
      <c r="M135" s="503"/>
      <c r="N135" s="503">
        <f t="shared" ref="N135:P135" si="58">N124</f>
        <v>0</v>
      </c>
      <c r="O135" s="503">
        <f t="shared" si="58"/>
        <v>0</v>
      </c>
      <c r="P135" s="503">
        <f t="shared" si="58"/>
        <v>0</v>
      </c>
      <c r="Q135" s="548"/>
    </row>
    <row r="136" spans="1:20" x14ac:dyDescent="0.35">
      <c r="A136" s="299"/>
      <c r="B136" s="504" t="str">
        <f>Language!A547</f>
        <v>Tiempo para vaciar el camión por viaje [minutos]</v>
      </c>
      <c r="C136" s="721">
        <f t="shared" ref="C136:H136" si="59">C74</f>
        <v>12</v>
      </c>
      <c r="D136" s="721">
        <f t="shared" si="59"/>
        <v>12</v>
      </c>
      <c r="E136" s="721">
        <f t="shared" si="59"/>
        <v>12</v>
      </c>
      <c r="F136" s="721">
        <f t="shared" si="59"/>
        <v>12</v>
      </c>
      <c r="G136" s="721">
        <f t="shared" si="59"/>
        <v>12</v>
      </c>
      <c r="H136" s="721">
        <f t="shared" si="59"/>
        <v>12</v>
      </c>
      <c r="I136" s="721"/>
      <c r="J136" s="721">
        <f>I74</f>
        <v>12</v>
      </c>
      <c r="K136" s="721">
        <f>I74</f>
        <v>12</v>
      </c>
      <c r="L136" s="721">
        <f>I74</f>
        <v>12</v>
      </c>
      <c r="M136" s="721"/>
      <c r="N136" s="721">
        <f>M74</f>
        <v>12</v>
      </c>
      <c r="O136" s="721">
        <f>M74</f>
        <v>12</v>
      </c>
      <c r="P136" s="721">
        <f>M74</f>
        <v>12</v>
      </c>
      <c r="Q136" s="548"/>
    </row>
    <row r="137" spans="1:20" x14ac:dyDescent="0.35">
      <c r="A137" s="299"/>
      <c r="B137" s="504" t="str">
        <f>Language!A548</f>
        <v>Horas por día laboral [h]</v>
      </c>
      <c r="C137" s="718">
        <f>'3) Parametros_modelo'!$C$86</f>
        <v>8</v>
      </c>
      <c r="D137" s="718">
        <f>'3) Parametros_modelo'!$C$86</f>
        <v>8</v>
      </c>
      <c r="E137" s="718">
        <f>'3) Parametros_modelo'!$C$86</f>
        <v>8</v>
      </c>
      <c r="F137" s="718">
        <f>'3) Parametros_modelo'!$C$86</f>
        <v>8</v>
      </c>
      <c r="G137" s="718">
        <f>'3) Parametros_modelo'!$C$86</f>
        <v>8</v>
      </c>
      <c r="H137" s="718">
        <f>'3) Parametros_modelo'!$C$86</f>
        <v>8</v>
      </c>
      <c r="I137" s="718"/>
      <c r="J137" s="718">
        <f>'3) Parametros_modelo'!$C$86</f>
        <v>8</v>
      </c>
      <c r="K137" s="718">
        <f>'3) Parametros_modelo'!$C$86</f>
        <v>8</v>
      </c>
      <c r="L137" s="718">
        <f>'3) Parametros_modelo'!$C$86</f>
        <v>8</v>
      </c>
      <c r="M137" s="718"/>
      <c r="N137" s="718">
        <f>'3) Parametros_modelo'!$C$86</f>
        <v>8</v>
      </c>
      <c r="O137" s="718">
        <f>'3) Parametros_modelo'!$C$86</f>
        <v>8</v>
      </c>
      <c r="P137" s="718">
        <f>'3) Parametros_modelo'!$C$86</f>
        <v>8</v>
      </c>
      <c r="Q137" s="548"/>
    </row>
    <row r="138" spans="1:20" x14ac:dyDescent="0.35">
      <c r="A138" s="299"/>
      <c r="B138" s="504" t="str">
        <f>Language!A549</f>
        <v>Horas disponibles por día laboral [h]</v>
      </c>
      <c r="C138" s="358">
        <f>C137*C128</f>
        <v>7.2</v>
      </c>
      <c r="D138" s="358">
        <f t="shared" ref="D138:H138" si="60">D137*D128</f>
        <v>7.2</v>
      </c>
      <c r="E138" s="358">
        <f t="shared" si="60"/>
        <v>7.2</v>
      </c>
      <c r="F138" s="358">
        <f t="shared" si="60"/>
        <v>7.2</v>
      </c>
      <c r="G138" s="358">
        <f t="shared" si="60"/>
        <v>7.2</v>
      </c>
      <c r="H138" s="358">
        <f t="shared" si="60"/>
        <v>7.2</v>
      </c>
      <c r="I138" s="358"/>
      <c r="J138" s="358">
        <f t="shared" ref="J138:L138" si="61">J137*J128</f>
        <v>7.2</v>
      </c>
      <c r="K138" s="358">
        <f t="shared" si="61"/>
        <v>7.2</v>
      </c>
      <c r="L138" s="358">
        <f t="shared" si="61"/>
        <v>7.2</v>
      </c>
      <c r="M138" s="358"/>
      <c r="N138" s="358">
        <f t="shared" ref="N138:P138" si="62">N137*N128</f>
        <v>7.2</v>
      </c>
      <c r="O138" s="358">
        <f t="shared" si="62"/>
        <v>7.2</v>
      </c>
      <c r="P138" s="358">
        <f t="shared" si="62"/>
        <v>7.2</v>
      </c>
      <c r="Q138" s="548"/>
    </row>
    <row r="139" spans="1:20" x14ac:dyDescent="0.35">
      <c r="A139" s="299"/>
      <c r="B139" s="504" t="str">
        <f>Language!A550</f>
        <v>Horas en pausa [h]</v>
      </c>
      <c r="C139" s="718">
        <f>C137-C138</f>
        <v>0.79999999999999982</v>
      </c>
      <c r="D139" s="718">
        <f t="shared" ref="D139:H139" si="63">D137-D138</f>
        <v>0.79999999999999982</v>
      </c>
      <c r="E139" s="718">
        <f t="shared" si="63"/>
        <v>0.79999999999999982</v>
      </c>
      <c r="F139" s="718">
        <f t="shared" si="63"/>
        <v>0.79999999999999982</v>
      </c>
      <c r="G139" s="718">
        <f t="shared" si="63"/>
        <v>0.79999999999999982</v>
      </c>
      <c r="H139" s="718">
        <f t="shared" si="63"/>
        <v>0.79999999999999982</v>
      </c>
      <c r="I139" s="718">
        <f>SUM(J139:L139)/SUM(J$90:L$90)</f>
        <v>0.79999999999999982</v>
      </c>
      <c r="J139" s="718">
        <f>(J137-J138)*J90</f>
        <v>0.79999999999999982</v>
      </c>
      <c r="K139" s="718">
        <f>(K137-K138)*K90</f>
        <v>0.79999999999999982</v>
      </c>
      <c r="L139" s="718">
        <f>(L137-L138)*L90</f>
        <v>0.79999999999999982</v>
      </c>
      <c r="M139" s="718">
        <f>SUM(N139:P139)/SUM(N$90:P$90)</f>
        <v>0.79999999999999982</v>
      </c>
      <c r="N139" s="718">
        <f>(N137-N138)*N90</f>
        <v>0.79999999999999982</v>
      </c>
      <c r="O139" s="718">
        <f>(O137-O138)*O90</f>
        <v>0.79999999999999982</v>
      </c>
      <c r="P139" s="718">
        <f>(P137-P138)*P90</f>
        <v>0.79999999999999982</v>
      </c>
      <c r="Q139" s="548"/>
    </row>
    <row r="140" spans="1:20" x14ac:dyDescent="0.35">
      <c r="A140" s="299"/>
      <c r="B140" s="504" t="str">
        <f>Language!A551</f>
        <v>Traslado desde y hacia el parqueo [h]</v>
      </c>
      <c r="C140" s="718">
        <f>C127</f>
        <v>0</v>
      </c>
      <c r="D140" s="718">
        <f t="shared" ref="D140:H140" si="64">D127</f>
        <v>0</v>
      </c>
      <c r="E140" s="718">
        <f t="shared" si="64"/>
        <v>0</v>
      </c>
      <c r="F140" s="718">
        <f t="shared" si="64"/>
        <v>0</v>
      </c>
      <c r="G140" s="718">
        <f t="shared" si="64"/>
        <v>0</v>
      </c>
      <c r="H140" s="718">
        <f t="shared" si="64"/>
        <v>0</v>
      </c>
      <c r="I140" s="718">
        <f t="shared" ref="I140:I147" si="65">SUM(J140:L140)/SUM(J$90:L$90)</f>
        <v>0</v>
      </c>
      <c r="J140" s="718">
        <f>J127*J90</f>
        <v>0</v>
      </c>
      <c r="K140" s="718">
        <f>K127*K90</f>
        <v>0</v>
      </c>
      <c r="L140" s="718">
        <f>L127*L90</f>
        <v>0</v>
      </c>
      <c r="M140" s="718">
        <f t="shared" ref="M140:M144" si="66">SUM(N140:P140)/SUM(N$90:P$90)</f>
        <v>0</v>
      </c>
      <c r="N140" s="718">
        <f>N127*N90</f>
        <v>0</v>
      </c>
      <c r="O140" s="718">
        <f>O127*O90</f>
        <v>0</v>
      </c>
      <c r="P140" s="718">
        <f>P127*P90</f>
        <v>0</v>
      </c>
      <c r="Q140" s="548"/>
    </row>
    <row r="141" spans="1:20" x14ac:dyDescent="0.35">
      <c r="A141" s="299"/>
      <c r="B141" s="504" t="str">
        <f>Language!A552</f>
        <v>Horas recolectando [h]</v>
      </c>
      <c r="C141" s="719" t="e">
        <f>C130*C134/60</f>
        <v>#DIV/0!</v>
      </c>
      <c r="D141" s="719" t="e">
        <f t="shared" ref="D141:G141" si="67">D130*D134/60</f>
        <v>#DIV/0!</v>
      </c>
      <c r="E141" s="719" t="e">
        <f t="shared" si="67"/>
        <v>#DIV/0!</v>
      </c>
      <c r="F141" s="719" t="e">
        <f t="shared" si="67"/>
        <v>#DIV/0!</v>
      </c>
      <c r="G141" s="719" t="e">
        <f t="shared" si="67"/>
        <v>#DIV/0!</v>
      </c>
      <c r="H141" s="719" t="e">
        <f>H130*H134/60</f>
        <v>#DIV/0!</v>
      </c>
      <c r="I141" s="718" t="e">
        <f t="shared" si="65"/>
        <v>#DIV/0!</v>
      </c>
      <c r="J141" s="719" t="e">
        <f>(J130*J134/60)*J90</f>
        <v>#DIV/0!</v>
      </c>
      <c r="K141" s="719" t="e">
        <f>(K130*K134/60)*K90</f>
        <v>#VALUE!</v>
      </c>
      <c r="L141" s="719" t="e">
        <f>(L130*L134/60)*L90</f>
        <v>#DIV/0!</v>
      </c>
      <c r="M141" s="718" t="e">
        <f>SUM(N141:P141)/SUM(N$90:P$90)</f>
        <v>#DIV/0!</v>
      </c>
      <c r="N141" s="719" t="e">
        <f>(N130*N134/60)*N90</f>
        <v>#DIV/0!</v>
      </c>
      <c r="O141" s="719" t="e">
        <f>(O130*O134/60)*O90</f>
        <v>#VALUE!</v>
      </c>
      <c r="P141" s="719" t="e">
        <f>(P130*P134/60)*P90</f>
        <v>#DIV/0!</v>
      </c>
      <c r="Q141" s="548"/>
    </row>
    <row r="142" spans="1:20" x14ac:dyDescent="0.35">
      <c r="A142" s="299"/>
      <c r="B142" s="504" t="str">
        <f>Language!A553</f>
        <v>Horas transfiriendo a punto de disposición final o transferencia [h]</v>
      </c>
      <c r="C142" s="719" t="e">
        <f>C130*C135/60</f>
        <v>#DIV/0!</v>
      </c>
      <c r="D142" s="719" t="e">
        <f>D130*D135/60</f>
        <v>#DIV/0!</v>
      </c>
      <c r="E142" s="719" t="e">
        <f t="shared" ref="E142:H142" si="68">E130*E135/60</f>
        <v>#DIV/0!</v>
      </c>
      <c r="F142" s="719" t="e">
        <f t="shared" si="68"/>
        <v>#DIV/0!</v>
      </c>
      <c r="G142" s="719" t="e">
        <f t="shared" si="68"/>
        <v>#DIV/0!</v>
      </c>
      <c r="H142" s="719" t="e">
        <f t="shared" si="68"/>
        <v>#DIV/0!</v>
      </c>
      <c r="I142" s="718" t="e">
        <f t="shared" si="65"/>
        <v>#DIV/0!</v>
      </c>
      <c r="J142" s="719" t="e">
        <f>(J130*J135/60)*J90</f>
        <v>#DIV/0!</v>
      </c>
      <c r="K142" s="719" t="e">
        <f>(K130*K135/60)*K90</f>
        <v>#VALUE!</v>
      </c>
      <c r="L142" s="719" t="e">
        <f>(L130*L135/60)*L90</f>
        <v>#DIV/0!</v>
      </c>
      <c r="M142" s="718" t="e">
        <f t="shared" si="66"/>
        <v>#DIV/0!</v>
      </c>
      <c r="N142" s="719" t="e">
        <f>(N130*N135/60)*N90</f>
        <v>#DIV/0!</v>
      </c>
      <c r="O142" s="719" t="e">
        <f>(O130*O135/60)*O90</f>
        <v>#VALUE!</v>
      </c>
      <c r="P142" s="719" t="e">
        <f>(P130*P135/60)*P90</f>
        <v>#DIV/0!</v>
      </c>
      <c r="Q142" s="548"/>
    </row>
    <row r="143" spans="1:20" x14ac:dyDescent="0.35">
      <c r="A143" s="299"/>
      <c r="B143" s="504" t="str">
        <f>Language!A554</f>
        <v>Horas vaciando el camión en estación de transferencia o sitio de disposición final [h]</v>
      </c>
      <c r="C143" s="719" t="e">
        <f>C130*C136/60</f>
        <v>#DIV/0!</v>
      </c>
      <c r="D143" s="719" t="e">
        <f t="shared" ref="D143:G143" si="69">D130*D136/60</f>
        <v>#DIV/0!</v>
      </c>
      <c r="E143" s="719" t="e">
        <f t="shared" si="69"/>
        <v>#DIV/0!</v>
      </c>
      <c r="F143" s="719" t="e">
        <f t="shared" si="69"/>
        <v>#DIV/0!</v>
      </c>
      <c r="G143" s="719" t="e">
        <f t="shared" si="69"/>
        <v>#DIV/0!</v>
      </c>
      <c r="H143" s="719" t="e">
        <f>H130*H136/60</f>
        <v>#DIV/0!</v>
      </c>
      <c r="I143" s="718" t="e">
        <f t="shared" si="65"/>
        <v>#DIV/0!</v>
      </c>
      <c r="J143" s="719" t="e">
        <f>(J130*J136/60)*J90</f>
        <v>#DIV/0!</v>
      </c>
      <c r="K143" s="719" t="e">
        <f>(K130*K136/60)*K90</f>
        <v>#VALUE!</v>
      </c>
      <c r="L143" s="719" t="e">
        <f>(L130*L136/60)*L90</f>
        <v>#DIV/0!</v>
      </c>
      <c r="M143" s="718" t="e">
        <f t="shared" si="66"/>
        <v>#DIV/0!</v>
      </c>
      <c r="N143" s="719" t="e">
        <f>(N130*N136/60)*N90</f>
        <v>#DIV/0!</v>
      </c>
      <c r="O143" s="719" t="e">
        <f>(O130*O136/60)*O90</f>
        <v>#VALUE!</v>
      </c>
      <c r="P143" s="719" t="e">
        <f>(P130*P136/60)*P90</f>
        <v>#DIV/0!</v>
      </c>
      <c r="Q143" s="548"/>
    </row>
    <row r="144" spans="1:20" ht="15" thickBot="1" x14ac:dyDescent="0.4">
      <c r="A144" s="299"/>
      <c r="B144" s="504" t="str">
        <f>Language!A555</f>
        <v>Horas no ocupadas [h]</v>
      </c>
      <c r="C144" s="738" t="e">
        <f>(C130-C130)*C126</f>
        <v>#DIV/0!</v>
      </c>
      <c r="D144" s="738" t="e">
        <f t="shared" ref="D144:H144" si="70">(D130-D130)*D126</f>
        <v>#DIV/0!</v>
      </c>
      <c r="E144" s="738" t="e">
        <f t="shared" si="70"/>
        <v>#DIV/0!</v>
      </c>
      <c r="F144" s="738" t="e">
        <f t="shared" si="70"/>
        <v>#DIV/0!</v>
      </c>
      <c r="G144" s="738" t="e">
        <f t="shared" si="70"/>
        <v>#DIV/0!</v>
      </c>
      <c r="H144" s="738" t="e">
        <f t="shared" si="70"/>
        <v>#DIV/0!</v>
      </c>
      <c r="I144" s="718" t="e">
        <f t="shared" si="65"/>
        <v>#DIV/0!</v>
      </c>
      <c r="J144" s="738" t="e">
        <f>((J130-J130)*J126)*J90</f>
        <v>#DIV/0!</v>
      </c>
      <c r="K144" s="738" t="e">
        <f>((K130-K130)*K126)*K90</f>
        <v>#VALUE!</v>
      </c>
      <c r="L144" s="738" t="e">
        <f>((L130-L130)*L126)*L90</f>
        <v>#DIV/0!</v>
      </c>
      <c r="M144" s="718" t="e">
        <f t="shared" si="66"/>
        <v>#DIV/0!</v>
      </c>
      <c r="N144" s="738" t="e">
        <f>((N130-N130)*N126)*N90</f>
        <v>#DIV/0!</v>
      </c>
      <c r="O144" s="738" t="e">
        <f>((O130-O130)*O126)*O90</f>
        <v>#VALUE!</v>
      </c>
      <c r="P144" s="738" t="e">
        <f>((P130-P130)*P126)*P90</f>
        <v>#DIV/0!</v>
      </c>
      <c r="Q144" s="734"/>
    </row>
    <row r="145" spans="1:20" x14ac:dyDescent="0.35">
      <c r="A145" s="299"/>
      <c r="B145" s="740" t="str">
        <f>Language!A556</f>
        <v>Distribución de tiempos</v>
      </c>
      <c r="C145" s="741"/>
      <c r="D145" s="741"/>
      <c r="E145" s="741"/>
      <c r="F145" s="494"/>
      <c r="G145" s="494"/>
      <c r="H145" s="494"/>
      <c r="I145" s="494"/>
      <c r="J145" s="494"/>
      <c r="K145" s="494"/>
      <c r="L145" s="494"/>
      <c r="M145" s="494"/>
      <c r="N145" s="494"/>
      <c r="O145" s="494"/>
      <c r="P145" s="494"/>
      <c r="Q145" s="495"/>
    </row>
    <row r="146" spans="1:20" x14ac:dyDescent="0.35">
      <c r="A146" s="299"/>
      <c r="B146" s="504" t="str">
        <f>Language!A557</f>
        <v>Recolección [%]</v>
      </c>
      <c r="C146" s="79" t="e">
        <f>C141/SUM(C141:C142)</f>
        <v>#DIV/0!</v>
      </c>
      <c r="D146" s="79" t="e">
        <f t="shared" ref="D146:N146" si="71">D141/SUM(D141:D142)</f>
        <v>#DIV/0!</v>
      </c>
      <c r="E146" s="79" t="e">
        <f t="shared" si="71"/>
        <v>#DIV/0!</v>
      </c>
      <c r="F146" s="79" t="e">
        <f t="shared" si="71"/>
        <v>#DIV/0!</v>
      </c>
      <c r="G146" s="79" t="e">
        <f t="shared" si="71"/>
        <v>#DIV/0!</v>
      </c>
      <c r="H146" s="79" t="e">
        <f>H141/SUM(H141:H142)</f>
        <v>#DIV/0!</v>
      </c>
      <c r="I146" s="79" t="e">
        <f>SUM(J146:L146)/SUM(J$90:L$90)</f>
        <v>#DIV/0!</v>
      </c>
      <c r="J146" s="79" t="e">
        <f t="shared" si="71"/>
        <v>#DIV/0!</v>
      </c>
      <c r="K146" s="79" t="e">
        <f>IF(K90=1,K141/SUM(K141:K142),"")</f>
        <v>#VALUE!</v>
      </c>
      <c r="L146" s="79" t="e">
        <f>IF(L90=1,L141/SUM(L141:L142),"")</f>
        <v>#DIV/0!</v>
      </c>
      <c r="M146" s="79" t="e">
        <f t="shared" ref="M146:M147" si="72">SUM(N146:P146)/SUM(N$90:P$90)</f>
        <v>#DIV/0!</v>
      </c>
      <c r="N146" s="79" t="e">
        <f t="shared" si="71"/>
        <v>#DIV/0!</v>
      </c>
      <c r="O146" s="79" t="e">
        <f>IF(O90=1,O141/SUM(O141:O142),"")</f>
        <v>#VALUE!</v>
      </c>
      <c r="P146" s="79" t="e">
        <f>IF(P90=1,P141/SUM(P141:P142),"")</f>
        <v>#DIV/0!</v>
      </c>
      <c r="Q146" s="548"/>
    </row>
    <row r="147" spans="1:20" ht="15" thickBot="1" x14ac:dyDescent="0.4">
      <c r="A147" s="299"/>
      <c r="B147" s="507" t="str">
        <f>Language!A558</f>
        <v>Transporte [%]</v>
      </c>
      <c r="C147" s="80" t="e">
        <f>C142/SUM(C141:C142)</f>
        <v>#DIV/0!</v>
      </c>
      <c r="D147" s="80" t="e">
        <f t="shared" ref="D147:N147" si="73">D142/SUM(D141:D142)</f>
        <v>#DIV/0!</v>
      </c>
      <c r="E147" s="80" t="e">
        <f t="shared" si="73"/>
        <v>#DIV/0!</v>
      </c>
      <c r="F147" s="80" t="e">
        <f t="shared" si="73"/>
        <v>#DIV/0!</v>
      </c>
      <c r="G147" s="80" t="e">
        <f t="shared" si="73"/>
        <v>#DIV/0!</v>
      </c>
      <c r="H147" s="80" t="e">
        <f t="shared" si="73"/>
        <v>#DIV/0!</v>
      </c>
      <c r="I147" s="80" t="e">
        <f t="shared" si="65"/>
        <v>#DIV/0!</v>
      </c>
      <c r="J147" s="80" t="e">
        <f t="shared" si="73"/>
        <v>#DIV/0!</v>
      </c>
      <c r="K147" s="80" t="e">
        <f>IF(K90=1,K142/SUM(K141:K142),"")</f>
        <v>#VALUE!</v>
      </c>
      <c r="L147" s="80" t="e">
        <f>IF(L90=1,L142/SUM(L141:L142),"")</f>
        <v>#DIV/0!</v>
      </c>
      <c r="M147" s="80" t="e">
        <f t="shared" si="72"/>
        <v>#DIV/0!</v>
      </c>
      <c r="N147" s="80" t="e">
        <f t="shared" si="73"/>
        <v>#DIV/0!</v>
      </c>
      <c r="O147" s="80" t="e">
        <f>IF(O90=1,O142/SUM(O141:O142),"")</f>
        <v>#VALUE!</v>
      </c>
      <c r="P147" s="80" t="e">
        <f>IF(P90=1,P142/SUM(P141:P142),"")</f>
        <v>#DIV/0!</v>
      </c>
      <c r="Q147" s="734"/>
    </row>
    <row r="148" spans="1:20" ht="15" thickBot="1" x14ac:dyDescent="0.4">
      <c r="A148" s="299"/>
    </row>
    <row r="149" spans="1:20" x14ac:dyDescent="0.35">
      <c r="A149" s="299"/>
      <c r="B149" s="740" t="str">
        <f>Language!A559</f>
        <v>Estimación de camiones recolectores necesarios y costos relacionados</v>
      </c>
      <c r="C149" s="741"/>
      <c r="D149" s="741"/>
      <c r="E149" s="741"/>
      <c r="F149" s="494"/>
      <c r="G149" s="494"/>
      <c r="H149" s="494"/>
      <c r="I149" s="494"/>
      <c r="J149" s="494"/>
      <c r="K149" s="494"/>
      <c r="L149" s="494"/>
      <c r="M149" s="494"/>
      <c r="N149" s="494"/>
      <c r="O149" s="494"/>
      <c r="P149" s="494"/>
      <c r="Q149" s="495"/>
    </row>
    <row r="150" spans="1:20" ht="29" x14ac:dyDescent="0.35">
      <c r="A150" s="299"/>
      <c r="B150" s="504" t="str">
        <f>Language!A560</f>
        <v>Cantidad de camiones de recolección necesarios [camiones]
Aplica para semana y horario laboral de 1 persona</v>
      </c>
      <c r="C150" s="358" t="e">
        <f t="shared" ref="C150:H150" si="74">CEILING(C113/C131,1)</f>
        <v>#DIV/0!</v>
      </c>
      <c r="D150" s="358" t="e">
        <f t="shared" si="74"/>
        <v>#DIV/0!</v>
      </c>
      <c r="E150" s="358" t="e">
        <f t="shared" si="74"/>
        <v>#DIV/0!</v>
      </c>
      <c r="F150" s="358" t="e">
        <f t="shared" si="74"/>
        <v>#DIV/0!</v>
      </c>
      <c r="G150" s="358" t="e">
        <f t="shared" si="74"/>
        <v>#DIV/0!</v>
      </c>
      <c r="H150" s="358" t="e">
        <f t="shared" si="74"/>
        <v>#DIV/0!</v>
      </c>
      <c r="I150" s="358"/>
      <c r="J150" s="358" t="e">
        <f>CEILING(J113/J131,1)</f>
        <v>#DIV/0!</v>
      </c>
      <c r="K150" s="358" t="e">
        <f>CEILING(K113/K131,1)</f>
        <v>#DIV/0!</v>
      </c>
      <c r="L150" s="358" t="e">
        <f>CEILING(L113/L131,1)</f>
        <v>#DIV/0!</v>
      </c>
      <c r="M150" s="358"/>
      <c r="N150" s="358" t="e">
        <f>CEILING(N113/N131,1)</f>
        <v>#DIV/0!</v>
      </c>
      <c r="O150" s="358" t="e">
        <f>CEILING(O113/O131,1)</f>
        <v>#DIV/0!</v>
      </c>
      <c r="P150" s="358" t="e">
        <f>CEILING(P113/P131,1)</f>
        <v>#DIV/0!</v>
      </c>
      <c r="Q150" s="548"/>
    </row>
    <row r="151" spans="1:20" ht="43.5" x14ac:dyDescent="0.35">
      <c r="A151" s="299"/>
      <c r="B151" s="504" t="str">
        <f>Language!A561</f>
        <v>Cantidad de camiones de recolección necesarios NO RONDEADO [camiones]</v>
      </c>
      <c r="C151" s="742" t="e">
        <f t="shared" ref="C151:H151" si="75">C113/C131</f>
        <v>#DIV/0!</v>
      </c>
      <c r="D151" s="742" t="e">
        <f t="shared" si="75"/>
        <v>#DIV/0!</v>
      </c>
      <c r="E151" s="742" t="e">
        <f t="shared" si="75"/>
        <v>#DIV/0!</v>
      </c>
      <c r="F151" s="742" t="e">
        <f t="shared" si="75"/>
        <v>#DIV/0!</v>
      </c>
      <c r="G151" s="742" t="e">
        <f t="shared" si="75"/>
        <v>#DIV/0!</v>
      </c>
      <c r="H151" s="742" t="e">
        <f t="shared" si="75"/>
        <v>#DIV/0!</v>
      </c>
      <c r="I151" s="742"/>
      <c r="J151" s="742" t="e">
        <f>J113/J131</f>
        <v>#DIV/0!</v>
      </c>
      <c r="K151" s="742" t="e">
        <f>K113/K131</f>
        <v>#DIV/0!</v>
      </c>
      <c r="L151" s="742" t="e">
        <f>L113/L131</f>
        <v>#DIV/0!</v>
      </c>
      <c r="M151" s="742"/>
      <c r="N151" s="742" t="e">
        <f>N113/N131</f>
        <v>#DIV/0!</v>
      </c>
      <c r="O151" s="742" t="e">
        <f>O113/O131</f>
        <v>#DIV/0!</v>
      </c>
      <c r="P151" s="742" t="e">
        <f>P113/P131</f>
        <v>#DIV/0!</v>
      </c>
      <c r="Q151" s="548"/>
      <c r="R151" s="506"/>
      <c r="S151" s="397"/>
      <c r="T151" s="397" t="s">
        <v>48</v>
      </c>
    </row>
    <row r="152" spans="1:20" x14ac:dyDescent="0.35">
      <c r="A152" s="299"/>
      <c r="B152" s="504" t="str">
        <f>Language!A562</f>
        <v>Tasa de indisponibilidad de camiones de recolección [%]</v>
      </c>
      <c r="C152" s="16">
        <v>0.05</v>
      </c>
      <c r="D152" s="16">
        <v>0.05</v>
      </c>
      <c r="E152" s="16">
        <v>0.05</v>
      </c>
      <c r="F152" s="16">
        <v>0.05</v>
      </c>
      <c r="G152" s="16">
        <v>0.05</v>
      </c>
      <c r="H152" s="16">
        <v>0.05</v>
      </c>
      <c r="I152" s="16"/>
      <c r="J152" s="1106">
        <v>0.05</v>
      </c>
      <c r="K152" s="1107"/>
      <c r="L152" s="1108"/>
      <c r="M152" s="16"/>
      <c r="N152" s="1106">
        <v>0.05</v>
      </c>
      <c r="O152" s="1107"/>
      <c r="P152" s="1108"/>
      <c r="Q152" s="548" t="str">
        <f>Language!A568</f>
        <v>Por defecto = 5%</v>
      </c>
      <c r="S152" s="397"/>
      <c r="T152" s="397" t="s">
        <v>46</v>
      </c>
    </row>
    <row r="153" spans="1:20" ht="72.5" x14ac:dyDescent="0.35">
      <c r="A153" s="299"/>
      <c r="B153" s="504" t="str">
        <f>Language!A563</f>
        <v>Control de % de uso de camiones - verificación si redondeado no afecta [%]</v>
      </c>
      <c r="C153" s="78" t="e">
        <f>(C151*(1+C152)/'3) Parametros_modelo'!$C$94)/C154</f>
        <v>#DIV/0!</v>
      </c>
      <c r="D153" s="78" t="e">
        <f>(D151*(1+D152)/'3) Parametros_modelo'!$C$94)/D154</f>
        <v>#DIV/0!</v>
      </c>
      <c r="E153" s="78" t="e">
        <f>(E151*(1+E152)/'3) Parametros_modelo'!$C$94)/E154</f>
        <v>#DIV/0!</v>
      </c>
      <c r="F153" s="78" t="e">
        <f>(F151*(1+F152)/'3) Parametros_modelo'!$C$94)/F154</f>
        <v>#DIV/0!</v>
      </c>
      <c r="G153" s="78" t="e">
        <f>(G151*(1+G152)/'3) Parametros_modelo'!$C$94)/G154</f>
        <v>#DIV/0!</v>
      </c>
      <c r="H153" s="78" t="e">
        <f>(H151*(1+H152)/'3) Parametros_modelo'!$C$94)/H154</f>
        <v>#DIV/0!</v>
      </c>
      <c r="I153" s="78" t="e">
        <f>(SUM(J151:L151)*(1+J152)/'3) Parametros_modelo'!$C$94)/I154</f>
        <v>#DIV/0!</v>
      </c>
      <c r="J153" s="743"/>
      <c r="K153" s="743"/>
      <c r="L153" s="743"/>
      <c r="M153" s="78" t="e">
        <f>(SUM(N151:P151)*(1+N152)/'3) Parametros_modelo'!$C$94)/M154</f>
        <v>#DIV/0!</v>
      </c>
      <c r="N153" s="743"/>
      <c r="O153" s="743"/>
      <c r="P153" s="743"/>
      <c r="Q153" s="730" t="str">
        <f>Language!A569</f>
        <v>Muy relevante para casos con pocos camiones, calcula el % de uso real de los camiones. Se puede utilizar este dato cuando se separa una ciudad por bloques - los camiones no serán usados al 100% para cada bloque, se puede compartir</v>
      </c>
      <c r="S153" s="397"/>
      <c r="T153" s="397"/>
    </row>
    <row r="154" spans="1:20" ht="29" x14ac:dyDescent="0.35">
      <c r="A154" s="299"/>
      <c r="B154" s="504" t="str">
        <f>Language!A564</f>
        <v>Cantidad de camiones de recolección necesarios considerando incremento de precaución y la posibilidad de dos turnos y de laborar los sábados o domingos [camiones]</v>
      </c>
      <c r="C154" s="503" t="e">
        <f>ROUNDUP(C151*(1+C152)/'3) Parametros_modelo'!$C$94,0)</f>
        <v>#DIV/0!</v>
      </c>
      <c r="D154" s="503" t="e">
        <f>ROUNDUP(D151*(1+D152)/'3) Parametros_modelo'!$C$94,0)</f>
        <v>#DIV/0!</v>
      </c>
      <c r="E154" s="503" t="e">
        <f>ROUNDUP(E151*(1+E152)/'3) Parametros_modelo'!$C$94,0)</f>
        <v>#DIV/0!</v>
      </c>
      <c r="F154" s="503" t="e">
        <f>ROUNDUP(F151*(1+F152)/'3) Parametros_modelo'!$C$94,0)</f>
        <v>#DIV/0!</v>
      </c>
      <c r="G154" s="503" t="e">
        <f>ROUNDUP(G151*(1+G152)/'3) Parametros_modelo'!$C$94,0)</f>
        <v>#DIV/0!</v>
      </c>
      <c r="H154" s="503" t="e">
        <f>ROUNDUP(H151*(1+H152)/'3) Parametros_modelo'!$C$94,0)</f>
        <v>#DIV/0!</v>
      </c>
      <c r="I154" s="1102" t="e">
        <f>ROUNDUP(SUM(J151:L151)*(1+J152)/'3) Parametros_modelo'!$C$94,0)</f>
        <v>#DIV/0!</v>
      </c>
      <c r="J154" s="1102"/>
      <c r="K154" s="1102"/>
      <c r="L154" s="1102"/>
      <c r="M154" s="1102" t="e">
        <f>ROUNDUP(SUM(N151:P151)*(1+N152)/'3) Parametros_modelo'!$C$94,0)</f>
        <v>#DIV/0!</v>
      </c>
      <c r="N154" s="1102"/>
      <c r="O154" s="1102"/>
      <c r="P154" s="1102"/>
      <c r="Q154" s="548"/>
      <c r="R154" s="506"/>
    </row>
    <row r="155" spans="1:20" x14ac:dyDescent="0.35">
      <c r="A155" s="299"/>
      <c r="B155" s="504" t="str">
        <f>Language!A565</f>
        <v>Costo total de compra de camiones de recolección [$$$]</v>
      </c>
      <c r="C155" s="358" t="e">
        <f>C154*'3) Parametros_modelo'!$C$119</f>
        <v>#DIV/0!</v>
      </c>
      <c r="D155" s="358" t="e">
        <f>D154*'3) Parametros_modelo'!$C$119</f>
        <v>#DIV/0!</v>
      </c>
      <c r="E155" s="358" t="e">
        <f>E154*'3) Parametros_modelo'!$C$119</f>
        <v>#DIV/0!</v>
      </c>
      <c r="F155" s="358" t="e">
        <f>F154*'3) Parametros_modelo'!C119</f>
        <v>#DIV/0!</v>
      </c>
      <c r="G155" s="358" t="e">
        <f>G154*'3) Parametros_modelo'!$C$119</f>
        <v>#DIV/0!</v>
      </c>
      <c r="H155" s="358" t="e">
        <f>H154*'3) Parametros_modelo'!$C$119</f>
        <v>#DIV/0!</v>
      </c>
      <c r="I155" s="1079" t="e">
        <f>I154*'3) Parametros_modelo'!$C$119</f>
        <v>#DIV/0!</v>
      </c>
      <c r="J155" s="1079"/>
      <c r="K155" s="1079"/>
      <c r="L155" s="1079"/>
      <c r="M155" s="1079" t="e">
        <f>M154*'3) Parametros_modelo'!$C$119</f>
        <v>#DIV/0!</v>
      </c>
      <c r="N155" s="1079"/>
      <c r="O155" s="1079"/>
      <c r="P155" s="1079"/>
      <c r="Q155" s="548"/>
    </row>
    <row r="156" spans="1:20" x14ac:dyDescent="0.35">
      <c r="A156" s="299"/>
      <c r="B156" s="504" t="str">
        <f>Language!A566</f>
        <v>Costo anual de seguros de camiones de recolección [$$$/año]</v>
      </c>
      <c r="C156" s="358" t="e">
        <f>C154*'3) Parametros_modelo'!$C$46</f>
        <v>#DIV/0!</v>
      </c>
      <c r="D156" s="358" t="e">
        <f>D154*'3) Parametros_modelo'!$C$46</f>
        <v>#DIV/0!</v>
      </c>
      <c r="E156" s="358" t="e">
        <f>E154*'3) Parametros_modelo'!$C$46</f>
        <v>#DIV/0!</v>
      </c>
      <c r="F156" s="358" t="e">
        <f>F154*'3) Parametros_modelo'!$C$46</f>
        <v>#DIV/0!</v>
      </c>
      <c r="G156" s="358" t="e">
        <f>G154*'3) Parametros_modelo'!$C$46</f>
        <v>#DIV/0!</v>
      </c>
      <c r="H156" s="358" t="e">
        <f>H154*'3) Parametros_modelo'!$C$46</f>
        <v>#DIV/0!</v>
      </c>
      <c r="I156" s="1079" t="e">
        <f>I154*'3) Parametros_modelo'!$C$46</f>
        <v>#DIV/0!</v>
      </c>
      <c r="J156" s="1079"/>
      <c r="K156" s="1079"/>
      <c r="L156" s="1079"/>
      <c r="M156" s="1079" t="e">
        <f>M154*'3) Parametros_modelo'!$C$46</f>
        <v>#DIV/0!</v>
      </c>
      <c r="N156" s="1079"/>
      <c r="O156" s="1079"/>
      <c r="P156" s="1079"/>
      <c r="Q156" s="548"/>
    </row>
    <row r="157" spans="1:20" ht="15" thickBot="1" x14ac:dyDescent="0.4">
      <c r="A157" s="299"/>
      <c r="B157" s="507" t="str">
        <f>Language!A567</f>
        <v>Costo anual de mantenimiento de camiones de recolección [$$$/año]</v>
      </c>
      <c r="C157" s="724" t="e">
        <f>C223*C154*'3) Parametros_modelo'!$C$47</f>
        <v>#DIV/0!</v>
      </c>
      <c r="D157" s="724" t="e">
        <f>D223*D154*'3) Parametros_modelo'!$C$47</f>
        <v>#DIV/0!</v>
      </c>
      <c r="E157" s="724" t="e">
        <f>E223*E154*'3) Parametros_modelo'!$C$47</f>
        <v>#DIV/0!</v>
      </c>
      <c r="F157" s="724" t="e">
        <f>F223*F154*'3) Parametros_modelo'!$C$47</f>
        <v>#DIV/0!</v>
      </c>
      <c r="G157" s="724" t="e">
        <f>G223*G154*'3) Parametros_modelo'!$C$47</f>
        <v>#DIV/0!</v>
      </c>
      <c r="H157" s="724" t="e">
        <f>H223*H154*'3) Parametros_modelo'!$C$47</f>
        <v>#DIV/0!</v>
      </c>
      <c r="I157" s="1105" t="e">
        <f>I223*I154*'3) Parametros_modelo'!$C$47</f>
        <v>#DIV/0!</v>
      </c>
      <c r="J157" s="1105"/>
      <c r="K157" s="1105"/>
      <c r="L157" s="1105"/>
      <c r="M157" s="1105" t="e">
        <f>M223*M154*'3) Parametros_modelo'!$C$47</f>
        <v>#DIV/0!</v>
      </c>
      <c r="N157" s="1105"/>
      <c r="O157" s="1105"/>
      <c r="P157" s="1105"/>
      <c r="Q157" s="734"/>
    </row>
    <row r="158" spans="1:20" ht="15" thickBot="1" x14ac:dyDescent="0.4">
      <c r="A158" s="299"/>
    </row>
    <row r="159" spans="1:20" x14ac:dyDescent="0.35">
      <c r="A159" s="299"/>
      <c r="B159" s="740" t="str">
        <f>Language!A570</f>
        <v>Estimación de tiempos de transferencia hacia sitio de disposición final</v>
      </c>
      <c r="C159" s="741"/>
      <c r="D159" s="741"/>
      <c r="E159" s="741"/>
      <c r="F159" s="744"/>
      <c r="G159" s="744"/>
      <c r="H159" s="744"/>
      <c r="I159" s="744"/>
      <c r="J159" s="744"/>
      <c r="K159" s="744"/>
      <c r="L159" s="744"/>
      <c r="M159" s="744"/>
      <c r="N159" s="744"/>
      <c r="O159" s="744"/>
      <c r="P159" s="744"/>
      <c r="Q159" s="745"/>
      <c r="R159" s="746"/>
    </row>
    <row r="160" spans="1:20" ht="43.5" x14ac:dyDescent="0.35">
      <c r="A160" s="299"/>
      <c r="B160" s="498" t="str">
        <f>Language!A571</f>
        <v>Volumen total que trasladar semanalmente [m3/semana]</v>
      </c>
      <c r="C160" s="539">
        <f>IF(C6=Language!A406, C89*daysofwork/'3) Parametros_modelo'!$C$28, 0)</f>
        <v>0</v>
      </c>
      <c r="D160" s="711" t="e">
        <f>IF(D6=Language!A406, D89*daysofwork/'3) Parametros_modelo'!$C$28, 0)</f>
        <v>#DIV/0!</v>
      </c>
      <c r="E160" s="711">
        <f>IF(E6=Language!A406, E89*daysofwork/'3) Parametros_modelo'!$C$28, 0)</f>
        <v>0</v>
      </c>
      <c r="F160" s="712" t="e">
        <f>IF(F6=Language!A406, F89*daysofwork/'3) Parametros_modelo'!C28, 0)</f>
        <v>#DIV/0!</v>
      </c>
      <c r="G160" s="503">
        <f>IF(G6=Language!A406, G89*daysofwork/'3) Parametros_modelo'!$C$28, 0)</f>
        <v>0</v>
      </c>
      <c r="H160" s="503" t="e">
        <f>IF(H6=Language!A406, H89*daysofwork/'3) Parametros_modelo'!$C$28, 0)</f>
        <v>#DIV/0!</v>
      </c>
      <c r="I160" s="747">
        <f>IF(I6=Language!A406,J160+K160*K162+L160*L162,0)</f>
        <v>0</v>
      </c>
      <c r="J160" s="747" t="e">
        <f>(SUM(K91:L91)+I88*'3) Parametros_modelo'!$C$26*daysofgeneration)/('3) Parametros_modelo'!$C$35)/'3) Parametros_modelo'!$C$42</f>
        <v>#DIV/0!</v>
      </c>
      <c r="K160" s="747" t="e">
        <f>IF(K9=Language!A406, I88*SUM('3) Parametros_modelo'!$C$22:$C$25)*daysofgeneration/('3) Parametros_modelo'!$C$30*'3) Parametros_modelo'!$C$109)*'3) Parametros_modelo'!$C$138/'3) Parametros_modelo'!$C$42,0)</f>
        <v>#VALUE!</v>
      </c>
      <c r="L160" s="747">
        <f>IF(L9=Language!A406, I88*'3) Parametros_modelo'!$C$21*daysofgeneration/('3) Parametros_modelo'!$C$29)*'3) Parametros_modelo'!$C$139/'3) Parametros_modelo'!$C$40,0)</f>
        <v>0</v>
      </c>
      <c r="M160" s="747" t="e">
        <f>IF(M6=Language!A406,N160+O160*O162+P160*P162,0)</f>
        <v>#DIV/0!</v>
      </c>
      <c r="N160" s="747" t="e">
        <f>(SUM(O91:P91)+M88*'3) Parametros_modelo'!$C$26*daysofgeneration)/('3) Parametros_modelo'!$C$35)/'3) Parametros_modelo'!$C$42</f>
        <v>#DIV/0!</v>
      </c>
      <c r="O160" s="747" t="e">
        <f>IF(O9=Language!A406, M88*SUM('3) Parametros_modelo'!$C$22:$C$25)*daysofgeneration/('3) Parametros_modelo'!$C$30*'3) Parametros_modelo'!$C$109)*'3) Parametros_modelo'!$C$138/'3) Parametros_modelo'!$C$42,0)</f>
        <v>#VALUE!</v>
      </c>
      <c r="P160" s="747">
        <f>IF(P9=Language!A406, M88*'3) Parametros_modelo'!$C$21*daysofgeneration/('3) Parametros_modelo'!$C$29)*'3) Parametros_modelo'!$C$139/'3) Parametros_modelo'!$C$40,0)</f>
        <v>0</v>
      </c>
      <c r="Q160" s="548"/>
      <c r="S160" s="397"/>
      <c r="T160" s="397" t="s">
        <v>94</v>
      </c>
    </row>
    <row r="161" spans="1:20" x14ac:dyDescent="0.35">
      <c r="A161" s="299"/>
      <c r="B161" s="498" t="str">
        <f>Language!A572</f>
        <v>Distancia [km]</v>
      </c>
      <c r="C161" s="539">
        <f>IF(C6=Language!A406,'3) Parametros_modelo'!$C$77,0)</f>
        <v>0</v>
      </c>
      <c r="D161" s="539">
        <f>IF(D6=Language!A406,'3) Parametros_modelo'!$C$77,0)</f>
        <v>0</v>
      </c>
      <c r="E161" s="539">
        <f>IF(E6=Language!A406,'3) Parametros_modelo'!$C$77,0)</f>
        <v>0</v>
      </c>
      <c r="F161" s="503">
        <f>IF(F6=Language!A406,'3) Parametros_modelo'!C77,0)</f>
        <v>0</v>
      </c>
      <c r="G161" s="503">
        <f>IF(G6=Language!A406,'3) Parametros_modelo'!$C$77,0)</f>
        <v>0</v>
      </c>
      <c r="H161" s="503">
        <f>IF(H6=Language!A406,'3) Parametros_modelo'!$C$77,0)</f>
        <v>0</v>
      </c>
      <c r="I161" s="747">
        <f>IF(I6=Language!A406,'3) Parametros_modelo'!$C$77,0)</f>
        <v>0</v>
      </c>
      <c r="J161" s="747"/>
      <c r="K161" s="747"/>
      <c r="L161" s="747"/>
      <c r="M161" s="747">
        <f>IF(M6=Language!A406,'3) Parametros_modelo'!$C$77,0)</f>
        <v>0</v>
      </c>
      <c r="N161" s="747"/>
      <c r="O161" s="747"/>
      <c r="P161" s="747"/>
      <c r="Q161" s="548"/>
      <c r="S161" s="397"/>
      <c r="T161" s="397"/>
    </row>
    <row r="162" spans="1:20" x14ac:dyDescent="0.35">
      <c r="A162" s="299"/>
      <c r="B162" s="498" t="str">
        <f>Language!A573</f>
        <v>Porcentaje de materia colectada de forma diferenciada que va a sitio de disposición final [%]</v>
      </c>
      <c r="C162" s="539"/>
      <c r="D162" s="539"/>
      <c r="E162" s="539"/>
      <c r="F162" s="503"/>
      <c r="G162" s="503"/>
      <c r="H162" s="503"/>
      <c r="I162" s="358"/>
      <c r="J162" s="747"/>
      <c r="K162" s="17">
        <v>0</v>
      </c>
      <c r="L162" s="17">
        <v>0</v>
      </c>
      <c r="M162" s="358"/>
      <c r="N162" s="747"/>
      <c r="O162" s="17">
        <v>0</v>
      </c>
      <c r="P162" s="17">
        <v>0</v>
      </c>
      <c r="Q162" s="548" t="str">
        <f>Language!A582</f>
        <v>Por defecto = 0%</v>
      </c>
      <c r="S162" s="397"/>
      <c r="T162" s="397"/>
    </row>
    <row r="163" spans="1:20" x14ac:dyDescent="0.35">
      <c r="A163" s="299"/>
      <c r="B163" s="498" t="str">
        <f>Language!A574</f>
        <v>Cantidad de viajes requeridos semanalmente [viajes/semana]</v>
      </c>
      <c r="C163" s="748" t="e">
        <f>CEILING(C160/'3) Parametros_modelo'!$C$41,1)</f>
        <v>#DIV/0!</v>
      </c>
      <c r="D163" s="748" t="e">
        <f>CEILING(D160/'3) Parametros_modelo'!$C$41,1)</f>
        <v>#DIV/0!</v>
      </c>
      <c r="E163" s="748" t="e">
        <f>CEILING(E160/'3) Parametros_modelo'!$C$41,1)</f>
        <v>#DIV/0!</v>
      </c>
      <c r="F163" s="358" t="e">
        <f>CEILING(F160/'3) Parametros_modelo'!C41,1)</f>
        <v>#DIV/0!</v>
      </c>
      <c r="G163" s="358" t="e">
        <f>CEILING(G160/'3) Parametros_modelo'!$C$41,1)</f>
        <v>#DIV/0!</v>
      </c>
      <c r="H163" s="358" t="e">
        <f>CEILING(H160/'3) Parametros_modelo'!$C$41,1)</f>
        <v>#DIV/0!</v>
      </c>
      <c r="I163" s="1079" t="e">
        <f>CEILING(I160/'3) Parametros_modelo'!$C$41,1)</f>
        <v>#DIV/0!</v>
      </c>
      <c r="J163" s="1079"/>
      <c r="K163" s="1079"/>
      <c r="L163" s="1079"/>
      <c r="M163" s="1079" t="e">
        <f>CEILING(M160/'3) Parametros_modelo'!$C$41,1)</f>
        <v>#DIV/0!</v>
      </c>
      <c r="N163" s="1079"/>
      <c r="O163" s="1079"/>
      <c r="P163" s="1079"/>
      <c r="Q163" s="548"/>
    </row>
    <row r="164" spans="1:20" x14ac:dyDescent="0.35">
      <c r="A164" s="299"/>
      <c r="B164" s="498" t="str">
        <f>Language!A575</f>
        <v>Tiempo requerido por viaje ida y vuelta [minutos]</v>
      </c>
      <c r="C164" s="748">
        <f>(2*C161/'3) Parametros_modelo'!$C$82)*60</f>
        <v>0</v>
      </c>
      <c r="D164" s="748">
        <f>(2*D161/'3) Parametros_modelo'!$C$82)*60</f>
        <v>0</v>
      </c>
      <c r="E164" s="748">
        <f>(2*E161/'3) Parametros_modelo'!$C$82)*60</f>
        <v>0</v>
      </c>
      <c r="F164" s="358">
        <f>(2*F161/'3) Parametros_modelo'!C82)*60</f>
        <v>0</v>
      </c>
      <c r="G164" s="358">
        <f>(2*G161/'3) Parametros_modelo'!$C$82)*60</f>
        <v>0</v>
      </c>
      <c r="H164" s="358">
        <f>(2*H161/'3) Parametros_modelo'!$C$82)*60</f>
        <v>0</v>
      </c>
      <c r="I164" s="1079">
        <f>(2*I161/'3) Parametros_modelo'!$C$82)*60</f>
        <v>0</v>
      </c>
      <c r="J164" s="1079"/>
      <c r="K164" s="1079"/>
      <c r="L164" s="1079"/>
      <c r="M164" s="1079">
        <f>(2*M161/'3) Parametros_modelo'!$C$82)*60</f>
        <v>0</v>
      </c>
      <c r="N164" s="1079"/>
      <c r="O164" s="1079"/>
      <c r="P164" s="1079"/>
      <c r="Q164" s="548"/>
    </row>
    <row r="165" spans="1:20" x14ac:dyDescent="0.35">
      <c r="A165" s="299"/>
      <c r="B165" s="498" t="str">
        <f>Language!A576</f>
        <v>Tiempo total requerido por viaje [minutos]</v>
      </c>
      <c r="C165" s="358">
        <f t="shared" ref="C165:I165" si="76">C164+C75+C76</f>
        <v>24</v>
      </c>
      <c r="D165" s="358">
        <f t="shared" si="76"/>
        <v>24</v>
      </c>
      <c r="E165" s="358">
        <f t="shared" si="76"/>
        <v>24</v>
      </c>
      <c r="F165" s="358">
        <f t="shared" si="76"/>
        <v>24</v>
      </c>
      <c r="G165" s="358">
        <f t="shared" si="76"/>
        <v>24</v>
      </c>
      <c r="H165" s="358">
        <f t="shared" si="76"/>
        <v>24</v>
      </c>
      <c r="I165" s="1079">
        <f t="shared" si="76"/>
        <v>24</v>
      </c>
      <c r="J165" s="1079"/>
      <c r="K165" s="1079"/>
      <c r="L165" s="1079"/>
      <c r="M165" s="1079">
        <f>M164+M75+M76</f>
        <v>24</v>
      </c>
      <c r="N165" s="1079"/>
      <c r="O165" s="1079"/>
      <c r="P165" s="1079"/>
      <c r="Q165" s="548"/>
    </row>
    <row r="166" spans="1:20" x14ac:dyDescent="0.35">
      <c r="A166" s="299"/>
      <c r="B166" s="498" t="str">
        <f>Language!A577</f>
        <v>Tiempo total requerido por viaje [horas]</v>
      </c>
      <c r="C166" s="358">
        <f t="shared" ref="C166:I166" si="77">C165/60</f>
        <v>0.4</v>
      </c>
      <c r="D166" s="358">
        <f t="shared" si="77"/>
        <v>0.4</v>
      </c>
      <c r="E166" s="358">
        <f t="shared" si="77"/>
        <v>0.4</v>
      </c>
      <c r="F166" s="358">
        <f t="shared" si="77"/>
        <v>0.4</v>
      </c>
      <c r="G166" s="358">
        <f t="shared" si="77"/>
        <v>0.4</v>
      </c>
      <c r="H166" s="358">
        <f t="shared" si="77"/>
        <v>0.4</v>
      </c>
      <c r="I166" s="1080">
        <f t="shared" si="77"/>
        <v>0.4</v>
      </c>
      <c r="J166" s="1080"/>
      <c r="K166" s="1080"/>
      <c r="L166" s="1080"/>
      <c r="M166" s="1080">
        <f>M165/60</f>
        <v>0.4</v>
      </c>
      <c r="N166" s="1080"/>
      <c r="O166" s="1080"/>
      <c r="P166" s="1080"/>
      <c r="Q166" s="548"/>
    </row>
    <row r="167" spans="1:20" x14ac:dyDescent="0.35">
      <c r="A167" s="299"/>
      <c r="B167" s="498" t="str">
        <f>Language!A578</f>
        <v>Tasa de disponibilidad de tiempo de equipo de transferencia [%]</v>
      </c>
      <c r="C167" s="18">
        <v>0.9</v>
      </c>
      <c r="D167" s="18">
        <v>0.9</v>
      </c>
      <c r="E167" s="18">
        <v>0.9</v>
      </c>
      <c r="F167" s="18">
        <v>0.9</v>
      </c>
      <c r="G167" s="18">
        <v>0.9</v>
      </c>
      <c r="H167" s="18">
        <v>0.9</v>
      </c>
      <c r="I167" s="1074">
        <v>0.9</v>
      </c>
      <c r="J167" s="1074"/>
      <c r="K167" s="1074"/>
      <c r="L167" s="1074"/>
      <c r="M167" s="1074">
        <v>0.9</v>
      </c>
      <c r="N167" s="1074"/>
      <c r="O167" s="1074"/>
      <c r="P167" s="1074"/>
      <c r="Q167" s="548" t="str">
        <f>Language!A583</f>
        <v>Por defecto = 90%</v>
      </c>
    </row>
    <row r="168" spans="1:20" x14ac:dyDescent="0.35">
      <c r="A168" s="299"/>
      <c r="B168" s="498" t="str">
        <f>Language!A579</f>
        <v>Cantidad de viajes por turnos de trabajo diario [viajes]</v>
      </c>
      <c r="C168" s="539">
        <f>FLOOR(C167*'3) Parametros_modelo'!$C$86/C166,1)</f>
        <v>18</v>
      </c>
      <c r="D168" s="539">
        <f>FLOOR(D167*'3) Parametros_modelo'!$C$86/D166,1)</f>
        <v>18</v>
      </c>
      <c r="E168" s="539">
        <f>FLOOR(E167*'3) Parametros_modelo'!$C$86/E166,1)</f>
        <v>18</v>
      </c>
      <c r="F168" s="503">
        <f>FLOOR(F167*'3) Parametros_modelo'!C86/F166,1)</f>
        <v>18</v>
      </c>
      <c r="G168" s="503">
        <f>FLOOR(G167*'3) Parametros_modelo'!$C$86/G166,1)</f>
        <v>18</v>
      </c>
      <c r="H168" s="503">
        <f>FLOOR(H167*'3) Parametros_modelo'!$C$86/H166,1)</f>
        <v>18</v>
      </c>
      <c r="I168" s="1077">
        <f>FLOOR(I167*'3) Parametros_modelo'!$C$86/I166,1)</f>
        <v>18</v>
      </c>
      <c r="J168" s="1077"/>
      <c r="K168" s="1077"/>
      <c r="L168" s="1077"/>
      <c r="M168" s="1077">
        <f>FLOOR(M167*'3) Parametros_modelo'!$C$86/M166,1)</f>
        <v>18</v>
      </c>
      <c r="N168" s="1077"/>
      <c r="O168" s="1077"/>
      <c r="P168" s="1077"/>
      <c r="Q168" s="548"/>
    </row>
    <row r="169" spans="1:20" x14ac:dyDescent="0.35">
      <c r="A169" s="299"/>
      <c r="B169" s="498" t="str">
        <f>Language!A580</f>
        <v>Cantidad de viajes por turnos de trabajo diario NO RONDEADO [viajes]</v>
      </c>
      <c r="C169" s="539">
        <f>C167*'3) Parametros_modelo'!$C$86/C166</f>
        <v>18</v>
      </c>
      <c r="D169" s="715">
        <f>D167*'3) Parametros_modelo'!$C$86/D166</f>
        <v>18</v>
      </c>
      <c r="E169" s="715">
        <f>E167*'3) Parametros_modelo'!$C$86/E166</f>
        <v>18</v>
      </c>
      <c r="F169" s="718">
        <f>F167*'3) Parametros_modelo'!C86/F166</f>
        <v>18</v>
      </c>
      <c r="G169" s="718">
        <f>G167*'3) Parametros_modelo'!$C$86/G166</f>
        <v>18</v>
      </c>
      <c r="H169" s="718">
        <f>H167*'3) Parametros_modelo'!$C$86/H166</f>
        <v>18</v>
      </c>
      <c r="I169" s="1085">
        <f>I167*'3) Parametros_modelo'!$C$86/I166</f>
        <v>18</v>
      </c>
      <c r="J169" s="1085"/>
      <c r="K169" s="1085"/>
      <c r="L169" s="1085"/>
      <c r="M169" s="1085">
        <f>M167*'3) Parametros_modelo'!$C$86/M166</f>
        <v>18</v>
      </c>
      <c r="N169" s="1085"/>
      <c r="O169" s="1085"/>
      <c r="P169" s="1085"/>
      <c r="Q169" s="548"/>
    </row>
    <row r="170" spans="1:20" ht="15" thickBot="1" x14ac:dyDescent="0.4">
      <c r="A170" s="299"/>
      <c r="B170" s="672" t="str">
        <f>Language!A581</f>
        <v>Cantidad de viajes semanales [viajes/semana]</v>
      </c>
      <c r="C170" s="738">
        <f t="shared" ref="C170:I170" si="78">C168*daysofwork</f>
        <v>79.615384615384613</v>
      </c>
      <c r="D170" s="738">
        <f t="shared" si="78"/>
        <v>79.615384615384613</v>
      </c>
      <c r="E170" s="738">
        <f t="shared" si="78"/>
        <v>79.615384615384613</v>
      </c>
      <c r="F170" s="738">
        <f t="shared" si="78"/>
        <v>79.615384615384613</v>
      </c>
      <c r="G170" s="738">
        <f t="shared" si="78"/>
        <v>79.615384615384613</v>
      </c>
      <c r="H170" s="738">
        <f t="shared" si="78"/>
        <v>79.615384615384613</v>
      </c>
      <c r="I170" s="1086">
        <f t="shared" si="78"/>
        <v>79.615384615384613</v>
      </c>
      <c r="J170" s="1086"/>
      <c r="K170" s="1086"/>
      <c r="L170" s="1086"/>
      <c r="M170" s="1086">
        <f>M168*daysofwork</f>
        <v>79.615384615384613</v>
      </c>
      <c r="N170" s="1086"/>
      <c r="O170" s="1086"/>
      <c r="P170" s="1086"/>
      <c r="Q170" s="734"/>
    </row>
    <row r="171" spans="1:20" ht="15" thickBot="1" x14ac:dyDescent="0.4">
      <c r="A171" s="299"/>
    </row>
    <row r="172" spans="1:20" x14ac:dyDescent="0.35">
      <c r="A172" s="299"/>
      <c r="B172" s="740" t="str">
        <f>Language!A584</f>
        <v>Estimación de camiones de transferencia necesarios y costos relacionados</v>
      </c>
      <c r="C172" s="741"/>
      <c r="D172" s="741"/>
      <c r="E172" s="741"/>
      <c r="F172" s="494"/>
      <c r="G172" s="494"/>
      <c r="H172" s="494"/>
      <c r="I172" s="494"/>
      <c r="J172" s="494"/>
      <c r="K172" s="494"/>
      <c r="L172" s="494"/>
      <c r="M172" s="494"/>
      <c r="N172" s="494"/>
      <c r="O172" s="494"/>
      <c r="P172" s="494"/>
      <c r="Q172" s="495"/>
    </row>
    <row r="173" spans="1:20" x14ac:dyDescent="0.35">
      <c r="A173" s="299"/>
      <c r="B173" s="498" t="str">
        <f>Language!A585</f>
        <v>Cantidad de camiones de transferencia necesarios [camiones]</v>
      </c>
      <c r="C173" s="503" t="e">
        <f t="shared" ref="C173:I173" si="79">CEILING(C163/C170,1)</f>
        <v>#DIV/0!</v>
      </c>
      <c r="D173" s="503" t="e">
        <f t="shared" si="79"/>
        <v>#DIV/0!</v>
      </c>
      <c r="E173" s="503" t="e">
        <f t="shared" si="79"/>
        <v>#DIV/0!</v>
      </c>
      <c r="F173" s="503" t="e">
        <f t="shared" si="79"/>
        <v>#DIV/0!</v>
      </c>
      <c r="G173" s="503" t="e">
        <f t="shared" si="79"/>
        <v>#DIV/0!</v>
      </c>
      <c r="H173" s="503" t="e">
        <f t="shared" si="79"/>
        <v>#DIV/0!</v>
      </c>
      <c r="I173" s="1077" t="e">
        <f t="shared" si="79"/>
        <v>#DIV/0!</v>
      </c>
      <c r="J173" s="1077"/>
      <c r="K173" s="1077"/>
      <c r="L173" s="1077"/>
      <c r="M173" s="1077" t="e">
        <f>CEILING(M163/M170,1)</f>
        <v>#DIV/0!</v>
      </c>
      <c r="N173" s="1077"/>
      <c r="O173" s="1077"/>
      <c r="P173" s="1077"/>
      <c r="Q173" s="548"/>
    </row>
    <row r="174" spans="1:20" x14ac:dyDescent="0.35">
      <c r="A174" s="299"/>
      <c r="B174" s="498" t="str">
        <f>Language!A586</f>
        <v>Cantidad de camiones de transferencia necesarios NO RONDEADO [camiones]</v>
      </c>
      <c r="C174" s="742" t="e">
        <f t="shared" ref="C174:I174" si="80">C163/C170</f>
        <v>#DIV/0!</v>
      </c>
      <c r="D174" s="742" t="e">
        <f t="shared" si="80"/>
        <v>#DIV/0!</v>
      </c>
      <c r="E174" s="742" t="e">
        <f t="shared" si="80"/>
        <v>#DIV/0!</v>
      </c>
      <c r="F174" s="742" t="e">
        <f t="shared" si="80"/>
        <v>#DIV/0!</v>
      </c>
      <c r="G174" s="742" t="e">
        <f t="shared" si="80"/>
        <v>#DIV/0!</v>
      </c>
      <c r="H174" s="742" t="e">
        <f t="shared" si="80"/>
        <v>#DIV/0!</v>
      </c>
      <c r="I174" s="1087" t="e">
        <f t="shared" si="80"/>
        <v>#DIV/0!</v>
      </c>
      <c r="J174" s="1087"/>
      <c r="K174" s="1087"/>
      <c r="L174" s="1087"/>
      <c r="M174" s="1087" t="e">
        <f>M163/M170</f>
        <v>#DIV/0!</v>
      </c>
      <c r="N174" s="1087"/>
      <c r="O174" s="1087"/>
      <c r="P174" s="1087"/>
      <c r="Q174" s="548"/>
    </row>
    <row r="175" spans="1:20" ht="43.5" x14ac:dyDescent="0.35">
      <c r="A175" s="299"/>
      <c r="B175" s="498" t="str">
        <f>Language!A587</f>
        <v>Tasa de indisponibilidad de camiones de transferencia [%]</v>
      </c>
      <c r="C175" s="16">
        <v>0.05</v>
      </c>
      <c r="D175" s="16">
        <v>0.05</v>
      </c>
      <c r="E175" s="16">
        <v>0.05</v>
      </c>
      <c r="F175" s="16">
        <v>0.05</v>
      </c>
      <c r="G175" s="16">
        <v>0.05</v>
      </c>
      <c r="H175" s="16">
        <v>0.05</v>
      </c>
      <c r="I175" s="1088">
        <v>0.05</v>
      </c>
      <c r="J175" s="1088"/>
      <c r="K175" s="1088"/>
      <c r="L175" s="1088"/>
      <c r="M175" s="1088">
        <v>0.05</v>
      </c>
      <c r="N175" s="1088"/>
      <c r="O175" s="1088"/>
      <c r="P175" s="1088"/>
      <c r="Q175" s="548" t="str">
        <f>Language!A592</f>
        <v>Por defecto = 5%</v>
      </c>
      <c r="R175" s="506"/>
      <c r="T175" s="397" t="s">
        <v>585</v>
      </c>
    </row>
    <row r="176" spans="1:20" x14ac:dyDescent="0.35">
      <c r="A176" s="299"/>
      <c r="B176" s="498" t="str">
        <f>Language!A588</f>
        <v>Cantidad de camiones de transferencia necesarios considerando incremento de precaución [camiones]</v>
      </c>
      <c r="C176" s="503" t="e">
        <f>ROUNDUP(C174*(1+C175)/'3) Parametros_modelo'!$C$94,0)</f>
        <v>#DIV/0!</v>
      </c>
      <c r="D176" s="503" t="e">
        <f>ROUNDUP(D174*(1+D175)/'3) Parametros_modelo'!$C$94,0)</f>
        <v>#DIV/0!</v>
      </c>
      <c r="E176" s="503" t="e">
        <f>ROUNDUP(E174*(1+E175)/'3) Parametros_modelo'!$C$94,0)</f>
        <v>#DIV/0!</v>
      </c>
      <c r="F176" s="503" t="e">
        <f>ROUNDUP(F174*(1+F175)/'3) Parametros_modelo'!$C$94,0)</f>
        <v>#DIV/0!</v>
      </c>
      <c r="G176" s="503" t="e">
        <f>ROUNDUP(G174*(1+G175)/'3) Parametros_modelo'!$C$94,0)</f>
        <v>#DIV/0!</v>
      </c>
      <c r="H176" s="503" t="e">
        <f>ROUNDUP(H174*(1+H175)/'3) Parametros_modelo'!$C$94,0)</f>
        <v>#DIV/0!</v>
      </c>
      <c r="I176" s="1077" t="e">
        <f>ROUNDUP(I174*(1+I175)/'3) Parametros_modelo'!$C$94,0)</f>
        <v>#DIV/0!</v>
      </c>
      <c r="J176" s="1077"/>
      <c r="K176" s="1077"/>
      <c r="L176" s="1077"/>
      <c r="M176" s="1077" t="e">
        <f>ROUNDUP(M174*(1+M175)/'3) Parametros_modelo'!$C$94,0)</f>
        <v>#DIV/0!</v>
      </c>
      <c r="N176" s="1077"/>
      <c r="O176" s="1077"/>
      <c r="P176" s="1077"/>
      <c r="Q176" s="548"/>
    </row>
    <row r="177" spans="1:20" x14ac:dyDescent="0.35">
      <c r="A177" s="299"/>
      <c r="B177" s="498" t="str">
        <f>Language!A589</f>
        <v>Costo total de compra de camiones de transferencia [$$$]</v>
      </c>
      <c r="C177" s="539" t="e">
        <f>C176*'3) Parametros_modelo'!$C$121</f>
        <v>#DIV/0!</v>
      </c>
      <c r="D177" s="539" t="e">
        <f>D176*'3) Parametros_modelo'!$C$121</f>
        <v>#DIV/0!</v>
      </c>
      <c r="E177" s="539" t="e">
        <f>E176*'3) Parametros_modelo'!$C$121</f>
        <v>#DIV/0!</v>
      </c>
      <c r="F177" s="503" t="e">
        <f>F176*'3) Parametros_modelo'!C121</f>
        <v>#DIV/0!</v>
      </c>
      <c r="G177" s="503" t="e">
        <f>G176*'3) Parametros_modelo'!$C$121</f>
        <v>#DIV/0!</v>
      </c>
      <c r="H177" s="503" t="e">
        <f>H176*'3) Parametros_modelo'!$C$121</f>
        <v>#DIV/0!</v>
      </c>
      <c r="I177" s="1077" t="e">
        <f>I176*'3) Parametros_modelo'!$C$121</f>
        <v>#DIV/0!</v>
      </c>
      <c r="J177" s="1077"/>
      <c r="K177" s="1077"/>
      <c r="L177" s="1077"/>
      <c r="M177" s="1077" t="e">
        <f>M176*'3) Parametros_modelo'!$C$121</f>
        <v>#DIV/0!</v>
      </c>
      <c r="N177" s="1077"/>
      <c r="O177" s="1077"/>
      <c r="P177" s="1077"/>
      <c r="Q177" s="548"/>
    </row>
    <row r="178" spans="1:20" x14ac:dyDescent="0.35">
      <c r="A178" s="299"/>
      <c r="B178" s="498" t="str">
        <f>Language!A590</f>
        <v>Costo de seguros de camiones de transferencia [$$$]</v>
      </c>
      <c r="C178" s="539" t="e">
        <f>C176*'3) Parametros_modelo'!$C$48</f>
        <v>#DIV/0!</v>
      </c>
      <c r="D178" s="539" t="e">
        <f>D176*'3) Parametros_modelo'!$C$48</f>
        <v>#DIV/0!</v>
      </c>
      <c r="E178" s="539" t="e">
        <f>E176*'3) Parametros_modelo'!$C$48</f>
        <v>#DIV/0!</v>
      </c>
      <c r="F178" s="539" t="e">
        <f>F176*'3) Parametros_modelo'!$C$48</f>
        <v>#DIV/0!</v>
      </c>
      <c r="G178" s="539" t="e">
        <f>G176*'3) Parametros_modelo'!$C$48</f>
        <v>#DIV/0!</v>
      </c>
      <c r="H178" s="539" t="e">
        <f>H176*'3) Parametros_modelo'!$C$48</f>
        <v>#DIV/0!</v>
      </c>
      <c r="I178" s="1077" t="e">
        <f>I176*'3) Parametros_modelo'!$C$48</f>
        <v>#DIV/0!</v>
      </c>
      <c r="J178" s="1077"/>
      <c r="K178" s="1077"/>
      <c r="L178" s="1077"/>
      <c r="M178" s="1077" t="e">
        <f>M176*'3) Parametros_modelo'!$C$48</f>
        <v>#DIV/0!</v>
      </c>
      <c r="N178" s="1077"/>
      <c r="O178" s="1077"/>
      <c r="P178" s="1077"/>
      <c r="Q178" s="548"/>
    </row>
    <row r="179" spans="1:20" ht="15" thickBot="1" x14ac:dyDescent="0.4">
      <c r="A179" s="299"/>
      <c r="B179" s="672" t="str">
        <f>Language!A591</f>
        <v>Costo anual de mantenimiento de camiones de transferencia [$$$/año]</v>
      </c>
      <c r="C179" s="749" t="e">
        <f>C224*C176*'3) Parametros_modelo'!$C$49</f>
        <v>#DIV/0!</v>
      </c>
      <c r="D179" s="749" t="e">
        <f>D224*D176*'3) Parametros_modelo'!$C$49</f>
        <v>#DIV/0!</v>
      </c>
      <c r="E179" s="749" t="e">
        <f>E224*E176*'3) Parametros_modelo'!$C$49</f>
        <v>#DIV/0!</v>
      </c>
      <c r="F179" s="749" t="e">
        <f>F224*F176*'3) Parametros_modelo'!$C$49</f>
        <v>#DIV/0!</v>
      </c>
      <c r="G179" s="749" t="e">
        <f>G224*G176*'3) Parametros_modelo'!$C$49</f>
        <v>#DIV/0!</v>
      </c>
      <c r="H179" s="749" t="e">
        <f>H224*H176*'3) Parametros_modelo'!$C$49</f>
        <v>#DIV/0!</v>
      </c>
      <c r="I179" s="1081" t="e">
        <f>I224*I176*'3) Parametros_modelo'!$C$49</f>
        <v>#DIV/0!</v>
      </c>
      <c r="J179" s="1081"/>
      <c r="K179" s="1081"/>
      <c r="L179" s="1081"/>
      <c r="M179" s="1081" t="e">
        <f>M224*M176*'3) Parametros_modelo'!$C$49</f>
        <v>#DIV/0!</v>
      </c>
      <c r="N179" s="1081"/>
      <c r="O179" s="1081"/>
      <c r="P179" s="1081"/>
      <c r="Q179" s="734"/>
    </row>
    <row r="180" spans="1:20" ht="15" thickBot="1" x14ac:dyDescent="0.4">
      <c r="A180" s="299"/>
    </row>
    <row r="181" spans="1:20" x14ac:dyDescent="0.35">
      <c r="A181" s="299"/>
      <c r="B181" s="740" t="str">
        <f>Language!A593</f>
        <v>Estimación de costos de estación de transferencia</v>
      </c>
      <c r="C181" s="741"/>
      <c r="D181" s="741"/>
      <c r="E181" s="741"/>
      <c r="F181" s="494"/>
      <c r="G181" s="494"/>
      <c r="H181" s="494"/>
      <c r="I181" s="494"/>
      <c r="J181" s="494"/>
      <c r="K181" s="494"/>
      <c r="L181" s="494"/>
      <c r="M181" s="494"/>
      <c r="N181" s="494"/>
      <c r="O181" s="494"/>
      <c r="P181" s="494"/>
      <c r="Q181" s="495"/>
    </row>
    <row r="182" spans="1:20" ht="29.5" thickBot="1" x14ac:dyDescent="0.4">
      <c r="A182" s="299"/>
      <c r="B182" s="750" t="str">
        <f>Language!A594</f>
        <v>Costo total de estaciones de transferencia [$$$]</v>
      </c>
      <c r="C182" s="508">
        <f>IF(C6=Language!A406, C185*'3) Parametros_modelo'!$C$125, 0)</f>
        <v>0</v>
      </c>
      <c r="D182" s="508">
        <f>IF(D6=Language!A406, D185*'3) Parametros_modelo'!$C$125, 0)</f>
        <v>100000</v>
      </c>
      <c r="E182" s="508">
        <f>IF(E6=Language!A406, E185*'3) Parametros_modelo'!$C$125, 0)</f>
        <v>0</v>
      </c>
      <c r="F182" s="508">
        <f>IF(F6=Language!A406, F185*'3) Parametros_modelo'!C125, 0)</f>
        <v>100000</v>
      </c>
      <c r="G182" s="508">
        <f>IF(G6=Language!A406, G185*'3) Parametros_modelo'!$C$125, 0)</f>
        <v>0</v>
      </c>
      <c r="H182" s="508">
        <f>IF(H6=Language!A406, H185*'3) Parametros_modelo'!$C$125, 0)</f>
        <v>100000</v>
      </c>
      <c r="I182" s="508"/>
      <c r="J182" s="508"/>
      <c r="K182" s="508"/>
      <c r="L182" s="508"/>
      <c r="M182" s="1081">
        <f>IF(M6=Language!A406, M185*'3) Parametros_modelo'!C125, 0)</f>
        <v>100000</v>
      </c>
      <c r="N182" s="1081"/>
      <c r="O182" s="1081"/>
      <c r="P182" s="1081"/>
      <c r="Q182" s="734"/>
      <c r="S182" s="397"/>
      <c r="T182" s="397" t="s">
        <v>84</v>
      </c>
    </row>
    <row r="183" spans="1:20" ht="15" thickBot="1" x14ac:dyDescent="0.4">
      <c r="A183" s="299"/>
    </row>
    <row r="184" spans="1:20" ht="43.5" x14ac:dyDescent="0.35">
      <c r="A184" s="299"/>
      <c r="B184" s="493" t="str">
        <f>Language!A595</f>
        <v>Estimación de costos de salarios, prestaciones y equipamientos laboral</v>
      </c>
      <c r="C184" s="709"/>
      <c r="D184" s="709"/>
      <c r="E184" s="709"/>
      <c r="F184" s="494"/>
      <c r="G184" s="494"/>
      <c r="H184" s="494"/>
      <c r="I184" s="494"/>
      <c r="J184" s="494"/>
      <c r="K184" s="494"/>
      <c r="L184" s="494"/>
      <c r="M184" s="494"/>
      <c r="N184" s="494"/>
      <c r="O184" s="494"/>
      <c r="P184" s="494"/>
      <c r="Q184" s="495"/>
      <c r="S184" s="397"/>
      <c r="T184" s="397" t="s">
        <v>74</v>
      </c>
    </row>
    <row r="185" spans="1:20" x14ac:dyDescent="0.35">
      <c r="A185" s="299"/>
      <c r="B185" s="504" t="str">
        <f>Language!A596</f>
        <v>Cantidad de estaciones de transferencias</v>
      </c>
      <c r="C185" s="503">
        <f>IF(C6=Language!A406,C77,0)</f>
        <v>0</v>
      </c>
      <c r="D185" s="503">
        <f>IF(D6=Language!A406,D77,0)</f>
        <v>1</v>
      </c>
      <c r="E185" s="503">
        <f>IF(E6=Language!A406,E77,0)</f>
        <v>0</v>
      </c>
      <c r="F185" s="503">
        <f>IF(F6=Language!A406,F77,0)</f>
        <v>1</v>
      </c>
      <c r="G185" s="503">
        <f>IF(G6=Language!A406,G77,0)</f>
        <v>0</v>
      </c>
      <c r="H185" s="503">
        <f>IF(H6=Language!A406,H77,0)</f>
        <v>1</v>
      </c>
      <c r="I185" s="1077">
        <f>IF(I6=Language!A406,I77,0)</f>
        <v>0</v>
      </c>
      <c r="J185" s="1077"/>
      <c r="K185" s="1077"/>
      <c r="L185" s="1077"/>
      <c r="M185" s="1077">
        <f>IF(M6=Language!A406,M77,0)</f>
        <v>1</v>
      </c>
      <c r="N185" s="1077"/>
      <c r="O185" s="1077"/>
      <c r="P185" s="1077"/>
      <c r="Q185" s="548"/>
      <c r="S185" s="397"/>
      <c r="T185" s="397"/>
    </row>
    <row r="186" spans="1:20" x14ac:dyDescent="0.35">
      <c r="A186" s="299"/>
      <c r="B186" s="504" t="str">
        <f>Language!A597</f>
        <v>Cantidad de choferes de camiones de recolección</v>
      </c>
      <c r="C186" s="358" t="e">
        <f t="shared" ref="C186:G186" si="81">C150</f>
        <v>#DIV/0!</v>
      </c>
      <c r="D186" s="358" t="e">
        <f t="shared" si="81"/>
        <v>#DIV/0!</v>
      </c>
      <c r="E186" s="358" t="e">
        <f t="shared" si="81"/>
        <v>#DIV/0!</v>
      </c>
      <c r="F186" s="358" t="e">
        <f t="shared" si="81"/>
        <v>#DIV/0!</v>
      </c>
      <c r="G186" s="358" t="e">
        <f t="shared" si="81"/>
        <v>#DIV/0!</v>
      </c>
      <c r="H186" s="358" t="e">
        <f>H150</f>
        <v>#DIV/0!</v>
      </c>
      <c r="I186" s="1067" t="e">
        <f>ROUNDUP(SUM(J151:L151),0)</f>
        <v>#DIV/0!</v>
      </c>
      <c r="J186" s="1067"/>
      <c r="K186" s="1067"/>
      <c r="L186" s="1067"/>
      <c r="M186" s="1067" t="e">
        <f>ROUNDUP(SUM(N151:P151),0)</f>
        <v>#DIV/0!</v>
      </c>
      <c r="N186" s="1067"/>
      <c r="O186" s="1067"/>
      <c r="P186" s="1067"/>
      <c r="Q186" s="548"/>
    </row>
    <row r="187" spans="1:20" x14ac:dyDescent="0.35">
      <c r="A187" s="299"/>
      <c r="B187" s="504" t="str">
        <f>Language!A598</f>
        <v>Cantidad de ayudantes por camión recolector</v>
      </c>
      <c r="C187" s="19">
        <v>4</v>
      </c>
      <c r="D187" s="19">
        <v>4</v>
      </c>
      <c r="E187" s="19">
        <v>4</v>
      </c>
      <c r="F187" s="19">
        <v>4</v>
      </c>
      <c r="G187" s="19">
        <v>2</v>
      </c>
      <c r="H187" s="19">
        <v>2</v>
      </c>
      <c r="I187" s="1078">
        <v>2</v>
      </c>
      <c r="J187" s="1078"/>
      <c r="K187" s="1078"/>
      <c r="L187" s="1078"/>
      <c r="M187" s="1078">
        <v>2</v>
      </c>
      <c r="N187" s="1078"/>
      <c r="O187" s="1078"/>
      <c r="P187" s="1078"/>
      <c r="Q187" s="548" t="str">
        <f>Language!A610</f>
        <v>Por defecto = 2, 4 para servicio sin contenedores</v>
      </c>
    </row>
    <row r="188" spans="1:20" x14ac:dyDescent="0.35">
      <c r="A188" s="299"/>
      <c r="B188" s="504" t="str">
        <f>Language!A599</f>
        <v>Cantidad total de ayudantes recolectores</v>
      </c>
      <c r="C188" s="358" t="e">
        <f t="shared" ref="C188:H188" si="82">C187*C150</f>
        <v>#DIV/0!</v>
      </c>
      <c r="D188" s="358" t="e">
        <f t="shared" si="82"/>
        <v>#DIV/0!</v>
      </c>
      <c r="E188" s="358" t="e">
        <f t="shared" si="82"/>
        <v>#DIV/0!</v>
      </c>
      <c r="F188" s="358" t="e">
        <f t="shared" si="82"/>
        <v>#DIV/0!</v>
      </c>
      <c r="G188" s="358" t="e">
        <f t="shared" si="82"/>
        <v>#DIV/0!</v>
      </c>
      <c r="H188" s="358" t="e">
        <f t="shared" si="82"/>
        <v>#DIV/0!</v>
      </c>
      <c r="I188" s="1079" t="e">
        <f>I187*ROUNDUP(SUM(J151:L151),0)</f>
        <v>#DIV/0!</v>
      </c>
      <c r="J188" s="1079"/>
      <c r="K188" s="1079"/>
      <c r="L188" s="1079"/>
      <c r="M188" s="1079" t="e">
        <f>M187*ROUNDUP(SUM(N151:P151),0)</f>
        <v>#DIV/0!</v>
      </c>
      <c r="N188" s="1079"/>
      <c r="O188" s="1079"/>
      <c r="P188" s="1079"/>
      <c r="Q188" s="548"/>
    </row>
    <row r="189" spans="1:20" x14ac:dyDescent="0.35">
      <c r="A189" s="299"/>
      <c r="B189" s="504" t="str">
        <f>Language!A600</f>
        <v>Cantidad de choferes de camiones de transferencia</v>
      </c>
      <c r="C189" s="358" t="e">
        <f t="shared" ref="C189:I189" si="83">C173</f>
        <v>#DIV/0!</v>
      </c>
      <c r="D189" s="358" t="e">
        <f t="shared" si="83"/>
        <v>#DIV/0!</v>
      </c>
      <c r="E189" s="358" t="e">
        <f t="shared" si="83"/>
        <v>#DIV/0!</v>
      </c>
      <c r="F189" s="358" t="e">
        <f t="shared" si="83"/>
        <v>#DIV/0!</v>
      </c>
      <c r="G189" s="358" t="e">
        <f t="shared" si="83"/>
        <v>#DIV/0!</v>
      </c>
      <c r="H189" s="358" t="e">
        <f t="shared" si="83"/>
        <v>#DIV/0!</v>
      </c>
      <c r="I189" s="1079" t="e">
        <f t="shared" si="83"/>
        <v>#DIV/0!</v>
      </c>
      <c r="J189" s="1079"/>
      <c r="K189" s="1079"/>
      <c r="L189" s="1079"/>
      <c r="M189" s="1079" t="e">
        <f>M173</f>
        <v>#DIV/0!</v>
      </c>
      <c r="N189" s="1079"/>
      <c r="O189" s="1079"/>
      <c r="P189" s="1079"/>
      <c r="Q189" s="548"/>
    </row>
    <row r="190" spans="1:20" x14ac:dyDescent="0.35">
      <c r="A190" s="299"/>
      <c r="B190" s="504" t="str">
        <f>Language!A601</f>
        <v>Cantidad de ayudantes por camión de transferencia</v>
      </c>
      <c r="C190" s="19">
        <v>0</v>
      </c>
      <c r="D190" s="19">
        <v>0</v>
      </c>
      <c r="E190" s="19">
        <v>0</v>
      </c>
      <c r="F190" s="19">
        <v>0</v>
      </c>
      <c r="G190" s="19">
        <v>0</v>
      </c>
      <c r="H190" s="19">
        <v>0</v>
      </c>
      <c r="I190" s="1078">
        <v>0</v>
      </c>
      <c r="J190" s="1078"/>
      <c r="K190" s="1078"/>
      <c r="L190" s="1078"/>
      <c r="M190" s="1078">
        <v>0</v>
      </c>
      <c r="N190" s="1078"/>
      <c r="O190" s="1078"/>
      <c r="P190" s="1078"/>
      <c r="Q190" s="548" t="str">
        <f>Language!A611</f>
        <v>Por defecto = 0</v>
      </c>
    </row>
    <row r="191" spans="1:20" x14ac:dyDescent="0.35">
      <c r="A191" s="299"/>
      <c r="B191" s="504" t="str">
        <f>Language!A602</f>
        <v>Cantidad total de ayudantes de camión de transferencia</v>
      </c>
      <c r="C191" s="358" t="e">
        <f t="shared" ref="C191:I191" si="84">C190*C173</f>
        <v>#DIV/0!</v>
      </c>
      <c r="D191" s="358" t="e">
        <f t="shared" si="84"/>
        <v>#DIV/0!</v>
      </c>
      <c r="E191" s="358" t="e">
        <f t="shared" si="84"/>
        <v>#DIV/0!</v>
      </c>
      <c r="F191" s="358" t="e">
        <f t="shared" si="84"/>
        <v>#DIV/0!</v>
      </c>
      <c r="G191" s="358" t="e">
        <f t="shared" si="84"/>
        <v>#DIV/0!</v>
      </c>
      <c r="H191" s="358" t="e">
        <f t="shared" si="84"/>
        <v>#DIV/0!</v>
      </c>
      <c r="I191" s="1079" t="e">
        <f t="shared" si="84"/>
        <v>#DIV/0!</v>
      </c>
      <c r="J191" s="1079"/>
      <c r="K191" s="1079"/>
      <c r="L191" s="1079"/>
      <c r="M191" s="1079" t="e">
        <f>M190*M173</f>
        <v>#DIV/0!</v>
      </c>
      <c r="N191" s="1079"/>
      <c r="O191" s="1079"/>
      <c r="P191" s="1079"/>
      <c r="Q191" s="548"/>
    </row>
    <row r="192" spans="1:20" x14ac:dyDescent="0.35">
      <c r="A192" s="299"/>
      <c r="B192" s="504" t="str">
        <f>Language!A603</f>
        <v>Cantidad de personal por estación de transferencia</v>
      </c>
      <c r="C192" s="19">
        <v>2</v>
      </c>
      <c r="D192" s="19">
        <v>2</v>
      </c>
      <c r="E192" s="19">
        <v>2</v>
      </c>
      <c r="F192" s="19">
        <v>2</v>
      </c>
      <c r="G192" s="19">
        <v>2</v>
      </c>
      <c r="H192" s="19">
        <v>2</v>
      </c>
      <c r="I192" s="1078">
        <v>2</v>
      </c>
      <c r="J192" s="1078"/>
      <c r="K192" s="1078"/>
      <c r="L192" s="1078"/>
      <c r="M192" s="1078">
        <v>2</v>
      </c>
      <c r="N192" s="1078"/>
      <c r="O192" s="1078"/>
      <c r="P192" s="1078"/>
      <c r="Q192" s="548" t="str">
        <f>Language!A612</f>
        <v>Por defecto = 2</v>
      </c>
    </row>
    <row r="193" spans="1:18" x14ac:dyDescent="0.35">
      <c r="A193" s="299"/>
      <c r="B193" s="504" t="str">
        <f>Language!A604</f>
        <v>Cantidad de trabajadores/as totales en estación de transferencia</v>
      </c>
      <c r="C193" s="358">
        <f t="shared" ref="C193:I193" si="85">C192*C185</f>
        <v>0</v>
      </c>
      <c r="D193" s="358">
        <f t="shared" si="85"/>
        <v>2</v>
      </c>
      <c r="E193" s="358">
        <f t="shared" si="85"/>
        <v>0</v>
      </c>
      <c r="F193" s="358">
        <f t="shared" si="85"/>
        <v>2</v>
      </c>
      <c r="G193" s="358">
        <f t="shared" si="85"/>
        <v>0</v>
      </c>
      <c r="H193" s="358">
        <f t="shared" si="85"/>
        <v>2</v>
      </c>
      <c r="I193" s="1079">
        <f t="shared" si="85"/>
        <v>0</v>
      </c>
      <c r="J193" s="1079"/>
      <c r="K193" s="1079"/>
      <c r="L193" s="1079"/>
      <c r="M193" s="1079">
        <f>M192*M185</f>
        <v>2</v>
      </c>
      <c r="N193" s="1079"/>
      <c r="O193" s="1079"/>
      <c r="P193" s="1079"/>
      <c r="Q193" s="548"/>
    </row>
    <row r="194" spans="1:18" x14ac:dyDescent="0.35">
      <c r="A194" s="299"/>
      <c r="B194" s="504" t="str">
        <f>Language!A605</f>
        <v>Cantidad total de choferes</v>
      </c>
      <c r="C194" s="358" t="e">
        <f t="shared" ref="C194:I194" si="86">C186+C189</f>
        <v>#DIV/0!</v>
      </c>
      <c r="D194" s="358" t="e">
        <f t="shared" si="86"/>
        <v>#DIV/0!</v>
      </c>
      <c r="E194" s="358" t="e">
        <f t="shared" si="86"/>
        <v>#DIV/0!</v>
      </c>
      <c r="F194" s="358" t="e">
        <f t="shared" si="86"/>
        <v>#DIV/0!</v>
      </c>
      <c r="G194" s="358" t="e">
        <f t="shared" si="86"/>
        <v>#DIV/0!</v>
      </c>
      <c r="H194" s="358" t="e">
        <f t="shared" si="86"/>
        <v>#DIV/0!</v>
      </c>
      <c r="I194" s="1079" t="e">
        <f t="shared" si="86"/>
        <v>#DIV/0!</v>
      </c>
      <c r="J194" s="1079"/>
      <c r="K194" s="1079"/>
      <c r="L194" s="1079"/>
      <c r="M194" s="1079" t="e">
        <f>M186+M189</f>
        <v>#DIV/0!</v>
      </c>
      <c r="N194" s="1079"/>
      <c r="O194" s="1079"/>
      <c r="P194" s="1079"/>
      <c r="Q194" s="548"/>
    </row>
    <row r="195" spans="1:18" x14ac:dyDescent="0.35">
      <c r="A195" s="299"/>
      <c r="B195" s="504" t="str">
        <f>Language!A606</f>
        <v>Cantidad total de ayudantes</v>
      </c>
      <c r="C195" s="358" t="e">
        <f t="shared" ref="C195:I195" si="87">C188+C191</f>
        <v>#DIV/0!</v>
      </c>
      <c r="D195" s="358" t="e">
        <f t="shared" si="87"/>
        <v>#DIV/0!</v>
      </c>
      <c r="E195" s="358" t="e">
        <f t="shared" si="87"/>
        <v>#DIV/0!</v>
      </c>
      <c r="F195" s="358" t="e">
        <f t="shared" si="87"/>
        <v>#DIV/0!</v>
      </c>
      <c r="G195" s="358" t="e">
        <f t="shared" si="87"/>
        <v>#DIV/0!</v>
      </c>
      <c r="H195" s="358" t="e">
        <f t="shared" si="87"/>
        <v>#DIV/0!</v>
      </c>
      <c r="I195" s="1079" t="e">
        <f t="shared" si="87"/>
        <v>#DIV/0!</v>
      </c>
      <c r="J195" s="1079"/>
      <c r="K195" s="1079"/>
      <c r="L195" s="1079"/>
      <c r="M195" s="1079" t="e">
        <f>M188+M191</f>
        <v>#DIV/0!</v>
      </c>
      <c r="N195" s="1079"/>
      <c r="O195" s="1079"/>
      <c r="P195" s="1079"/>
      <c r="Q195" s="548"/>
    </row>
    <row r="196" spans="1:18" x14ac:dyDescent="0.35">
      <c r="A196" s="299"/>
      <c r="B196" s="504" t="str">
        <f>Language!A607</f>
        <v>Cantidad total de personal en centro de transferencia</v>
      </c>
      <c r="C196" s="358">
        <f>C193</f>
        <v>0</v>
      </c>
      <c r="D196" s="358">
        <f t="shared" ref="D196:I196" si="88">D193</f>
        <v>2</v>
      </c>
      <c r="E196" s="358">
        <f t="shared" si="88"/>
        <v>0</v>
      </c>
      <c r="F196" s="358">
        <f t="shared" si="88"/>
        <v>2</v>
      </c>
      <c r="G196" s="358">
        <f t="shared" si="88"/>
        <v>0</v>
      </c>
      <c r="H196" s="358">
        <f t="shared" si="88"/>
        <v>2</v>
      </c>
      <c r="I196" s="1080">
        <f t="shared" si="88"/>
        <v>0</v>
      </c>
      <c r="J196" s="1080"/>
      <c r="K196" s="1080"/>
      <c r="L196" s="1080"/>
      <c r="M196" s="1080">
        <f>M193</f>
        <v>2</v>
      </c>
      <c r="N196" s="1080"/>
      <c r="O196" s="1080"/>
      <c r="P196" s="1080"/>
      <c r="Q196" s="548"/>
    </row>
    <row r="197" spans="1:18" x14ac:dyDescent="0.35">
      <c r="A197" s="299"/>
      <c r="B197" s="504" t="str">
        <f>Language!A608</f>
        <v>Costos totales estación de transferencia [$$$/año]</v>
      </c>
      <c r="C197" s="748">
        <f>C196*('3) Parametros_modelo'!$C$100+'3) Parametros_modelo'!$C$103)</f>
        <v>0</v>
      </c>
      <c r="D197" s="748">
        <f>D196*('3) Parametros_modelo'!$C$100+'3) Parametros_modelo'!$C$103)</f>
        <v>0</v>
      </c>
      <c r="E197" s="748">
        <f>E196*('3) Parametros_modelo'!$C$100+'3) Parametros_modelo'!$C$103)</f>
        <v>0</v>
      </c>
      <c r="F197" s="358">
        <f>F196*('3) Parametros_modelo'!C100+'3) Parametros_modelo'!C103)</f>
        <v>0</v>
      </c>
      <c r="G197" s="358">
        <f>G196*('3) Parametros_modelo'!$C$100+'3) Parametros_modelo'!$C$103)</f>
        <v>0</v>
      </c>
      <c r="H197" s="358">
        <f>H196*('3) Parametros_modelo'!$C$100+'3) Parametros_modelo'!$C$103)</f>
        <v>0</v>
      </c>
      <c r="I197" s="358">
        <f>I196*('3) Parametros_modelo'!$C$100+'3) Parametros_modelo'!$C$103)</f>
        <v>0</v>
      </c>
      <c r="J197" s="751"/>
      <c r="K197" s="751"/>
      <c r="L197" s="751"/>
      <c r="M197" s="358">
        <f>M196*('3) Parametros_modelo'!$C$100+'3) Parametros_modelo'!$C$103)</f>
        <v>0</v>
      </c>
      <c r="N197" s="751"/>
      <c r="O197" s="751"/>
      <c r="P197" s="751"/>
      <c r="Q197" s="548"/>
    </row>
    <row r="198" spans="1:18" ht="15" thickBot="1" x14ac:dyDescent="0.4">
      <c r="A198" s="299"/>
      <c r="B198" s="507" t="str">
        <f>Language!A609</f>
        <v>Costos totales servicio de recolección [$$$/año]</v>
      </c>
      <c r="C198" s="752" t="e">
        <f>C194*('3) Parametros_modelo'!$C$98+'3) Parametros_modelo'!$C$101)+C195*('3) Parametros_modelo'!$C$99+'3) Parametros_modelo'!$C$102)</f>
        <v>#DIV/0!</v>
      </c>
      <c r="D198" s="752" t="e">
        <f>D194*('3) Parametros_modelo'!$C$98+'3) Parametros_modelo'!$C$101)+D195*('3) Parametros_modelo'!$C$99+'3) Parametros_modelo'!$C$102)</f>
        <v>#DIV/0!</v>
      </c>
      <c r="E198" s="752" t="e">
        <f>E194*('3) Parametros_modelo'!$C$98+'3) Parametros_modelo'!$C$101)+E195*('3) Parametros_modelo'!$C$99+'3) Parametros_modelo'!$C$102)</f>
        <v>#DIV/0!</v>
      </c>
      <c r="F198" s="362" t="e">
        <f>F194*('3) Parametros_modelo'!C98+'3) Parametros_modelo'!C101)+F195*('3) Parametros_modelo'!C99+'3) Parametros_modelo'!C102)</f>
        <v>#DIV/0!</v>
      </c>
      <c r="G198" s="362" t="e">
        <f>G194*('3) Parametros_modelo'!$C$98+'3) Parametros_modelo'!$C$101)+G195*('3) Parametros_modelo'!$C$99+'3) Parametros_modelo'!$C$102)</f>
        <v>#DIV/0!</v>
      </c>
      <c r="H198" s="362" t="e">
        <f>H194*('3) Parametros_modelo'!$C$98+'3) Parametros_modelo'!$C$101)+H195*('3) Parametros_modelo'!$C$99+'3) Parametros_modelo'!$C$102)</f>
        <v>#DIV/0!</v>
      </c>
      <c r="I198" s="362" t="e">
        <f>I194*('3) Parametros_modelo'!$C$98+'3) Parametros_modelo'!$C$101)+I195*('3) Parametros_modelo'!$C$99+'3) Parametros_modelo'!$C$102)</f>
        <v>#DIV/0!</v>
      </c>
      <c r="J198" s="362"/>
      <c r="K198" s="362"/>
      <c r="L198" s="362"/>
      <c r="M198" s="362" t="e">
        <f>M194*('3) Parametros_modelo'!$C$98+'3) Parametros_modelo'!$C$101)+M195*('3) Parametros_modelo'!$C$99+'3) Parametros_modelo'!$C$102)</f>
        <v>#DIV/0!</v>
      </c>
      <c r="N198" s="362"/>
      <c r="O198" s="362"/>
      <c r="P198" s="362"/>
      <c r="Q198" s="734"/>
    </row>
    <row r="199" spans="1:18" ht="15" thickBot="1" x14ac:dyDescent="0.4">
      <c r="A199" s="299"/>
    </row>
    <row r="200" spans="1:18" ht="15" thickBot="1" x14ac:dyDescent="0.4">
      <c r="A200" s="299"/>
      <c r="B200" s="493" t="str">
        <f>Language!A613</f>
        <v>Estimación de costos de uso de vehículos y amortización (vehículos y estación de transferencia)</v>
      </c>
      <c r="C200" s="709"/>
      <c r="D200" s="709"/>
      <c r="E200" s="709"/>
      <c r="F200" s="494"/>
      <c r="G200" s="494"/>
      <c r="H200" s="494"/>
      <c r="I200" s="494"/>
      <c r="J200" s="494"/>
      <c r="K200" s="494"/>
      <c r="L200" s="494"/>
      <c r="M200" s="494"/>
      <c r="N200" s="494"/>
      <c r="O200" s="494"/>
      <c r="P200" s="494"/>
      <c r="Q200" s="495"/>
    </row>
    <row r="201" spans="1:18" x14ac:dyDescent="0.35">
      <c r="A201" s="299"/>
      <c r="B201" s="753" t="str">
        <f>Language!A614</f>
        <v>Distancia semanal vehículos recolección (parqueo-ciudad) [km/semana]</v>
      </c>
      <c r="C201" s="754" t="e">
        <f>(C113/C130)*('3) Parametros_modelo'!$C$74*2)</f>
        <v>#DIV/0!</v>
      </c>
      <c r="D201" s="754" t="e">
        <f>(D113/D130)*('3) Parametros_modelo'!$C$74*2)</f>
        <v>#DIV/0!</v>
      </c>
      <c r="E201" s="754" t="e">
        <f>(E113/E130)*('3) Parametros_modelo'!$C$74*2)</f>
        <v>#DIV/0!</v>
      </c>
      <c r="F201" s="754" t="e">
        <f>(F113/F130)*('3) Parametros_modelo'!$C$74*2)</f>
        <v>#DIV/0!</v>
      </c>
      <c r="G201" s="754" t="e">
        <f>(G113/G130)*('3) Parametros_modelo'!$C$74*2)</f>
        <v>#DIV/0!</v>
      </c>
      <c r="H201" s="754" t="e">
        <f>(H113/H130)*('3) Parametros_modelo'!$C$74*2)</f>
        <v>#DIV/0!</v>
      </c>
      <c r="I201" s="755" t="e">
        <f>SUM(J201:L201)</f>
        <v>#DIV/0!</v>
      </c>
      <c r="J201" s="754" t="e">
        <f>(J113/J130)*('3) Parametros_modelo'!$C$74*2)</f>
        <v>#DIV/0!</v>
      </c>
      <c r="K201" s="754" t="e">
        <f>(K113/K130)*('3) Parametros_modelo'!$C$74*2)</f>
        <v>#DIV/0!</v>
      </c>
      <c r="L201" s="754" t="e">
        <f>(L113/L130)*('3) Parametros_modelo'!$C$74*2)</f>
        <v>#DIV/0!</v>
      </c>
      <c r="M201" s="755" t="e">
        <f>SUM(N201:P201)</f>
        <v>#DIV/0!</v>
      </c>
      <c r="N201" s="754" t="e">
        <f>(N113/N130)*('3) Parametros_modelo'!$C$74*2)</f>
        <v>#DIV/0!</v>
      </c>
      <c r="O201" s="754" t="e">
        <f>(O113/O130)*('3) Parametros_modelo'!$C$74*2)</f>
        <v>#DIV/0!</v>
      </c>
      <c r="P201" s="754" t="e">
        <f>(P113/P130)*('3) Parametros_modelo'!$C$74*2)</f>
        <v>#DIV/0!</v>
      </c>
      <c r="Q201" s="756"/>
      <c r="R201" s="506"/>
    </row>
    <row r="202" spans="1:18" x14ac:dyDescent="0.35">
      <c r="A202" s="299"/>
      <c r="B202" s="757" t="str">
        <f>Language!A615</f>
        <v>Distancia semana de recolección [km/semana]</v>
      </c>
      <c r="C202" s="719" t="e">
        <f t="shared" ref="C202:H202" si="89">C115</f>
        <v>#DIV/0!</v>
      </c>
      <c r="D202" s="719" t="e">
        <f t="shared" si="89"/>
        <v>#DIV/0!</v>
      </c>
      <c r="E202" s="719" t="e">
        <f t="shared" si="89"/>
        <v>#DIV/0!</v>
      </c>
      <c r="F202" s="719" t="e">
        <f t="shared" si="89"/>
        <v>#DIV/0!</v>
      </c>
      <c r="G202" s="719" t="e">
        <f t="shared" si="89"/>
        <v>#DIV/0!</v>
      </c>
      <c r="H202" s="719" t="e">
        <f t="shared" si="89"/>
        <v>#DIV/0!</v>
      </c>
      <c r="I202" s="719" t="e">
        <f>SUM(J202:L202)</f>
        <v>#DIV/0!</v>
      </c>
      <c r="J202" s="719" t="e">
        <f>J115</f>
        <v>#DIV/0!</v>
      </c>
      <c r="K202" s="719" t="e">
        <f>K115</f>
        <v>#VALUE!</v>
      </c>
      <c r="L202" s="719" t="e">
        <f>L115</f>
        <v>#DIV/0!</v>
      </c>
      <c r="M202" s="719" t="e">
        <f>SUM(N202:P202)</f>
        <v>#DIV/0!</v>
      </c>
      <c r="N202" s="719" t="e">
        <f>N115</f>
        <v>#DIV/0!</v>
      </c>
      <c r="O202" s="719" t="e">
        <f>O115</f>
        <v>#VALUE!</v>
      </c>
      <c r="P202" s="719" t="e">
        <f>P115</f>
        <v>#DIV/0!</v>
      </c>
      <c r="Q202" s="548"/>
    </row>
    <row r="203" spans="1:18" x14ac:dyDescent="0.35">
      <c r="A203" s="299"/>
      <c r="B203" s="757" t="str">
        <f>Language!A616</f>
        <v>Distancia semanal vehículos de recolección de ciudad a estación de transferencia (o sitio de disposición final si no hay centro de transferencia) [km/semana]</v>
      </c>
      <c r="C203" s="503" t="e">
        <f t="shared" ref="C203:H203" si="90">2*C121*C113</f>
        <v>#DIV/0!</v>
      </c>
      <c r="D203" s="503" t="e">
        <f t="shared" si="90"/>
        <v>#DIV/0!</v>
      </c>
      <c r="E203" s="503" t="e">
        <f t="shared" si="90"/>
        <v>#DIV/0!</v>
      </c>
      <c r="F203" s="503" t="e">
        <f t="shared" si="90"/>
        <v>#DIV/0!</v>
      </c>
      <c r="G203" s="503" t="e">
        <f t="shared" si="90"/>
        <v>#DIV/0!</v>
      </c>
      <c r="H203" s="503" t="e">
        <f t="shared" si="90"/>
        <v>#DIV/0!</v>
      </c>
      <c r="I203" s="503" t="e">
        <f>SUM(J203:L203)</f>
        <v>#DIV/0!</v>
      </c>
      <c r="J203" s="503" t="e">
        <f>2*J121*J113</f>
        <v>#DIV/0!</v>
      </c>
      <c r="K203" s="503" t="e">
        <f>2*K121*K113</f>
        <v>#DIV/0!</v>
      </c>
      <c r="L203" s="503" t="e">
        <f>2*L121*L113</f>
        <v>#DIV/0!</v>
      </c>
      <c r="M203" s="503" t="e">
        <f>SUM(N203:P203)</f>
        <v>#DIV/0!</v>
      </c>
      <c r="N203" s="503" t="e">
        <f>2*N121*N113</f>
        <v>#DIV/0!</v>
      </c>
      <c r="O203" s="503" t="e">
        <f>2*O121*O113</f>
        <v>#DIV/0!</v>
      </c>
      <c r="P203" s="503" t="e">
        <f>2*P121*P113</f>
        <v>#DIV/0!</v>
      </c>
      <c r="Q203" s="548"/>
    </row>
    <row r="204" spans="1:18" x14ac:dyDescent="0.35">
      <c r="A204" s="299"/>
      <c r="B204" s="757" t="str">
        <f>Language!A617</f>
        <v>Distancia semanal de estación de transferencia a disposición final [km/semana]</v>
      </c>
      <c r="C204" s="358" t="e">
        <f t="shared" ref="C204:I204" si="91">2*C161*C163</f>
        <v>#DIV/0!</v>
      </c>
      <c r="D204" s="358" t="e">
        <f t="shared" si="91"/>
        <v>#DIV/0!</v>
      </c>
      <c r="E204" s="358" t="e">
        <f t="shared" si="91"/>
        <v>#DIV/0!</v>
      </c>
      <c r="F204" s="358" t="e">
        <f t="shared" si="91"/>
        <v>#DIV/0!</v>
      </c>
      <c r="G204" s="358" t="e">
        <f t="shared" si="91"/>
        <v>#DIV/0!</v>
      </c>
      <c r="H204" s="358" t="e">
        <f t="shared" si="91"/>
        <v>#DIV/0!</v>
      </c>
      <c r="I204" s="1079" t="e">
        <f t="shared" si="91"/>
        <v>#DIV/0!</v>
      </c>
      <c r="J204" s="1079"/>
      <c r="K204" s="1079"/>
      <c r="L204" s="1079"/>
      <c r="M204" s="1079" t="e">
        <f>2*M161*M163</f>
        <v>#DIV/0!</v>
      </c>
      <c r="N204" s="1079"/>
      <c r="O204" s="1079"/>
      <c r="P204" s="1079"/>
      <c r="Q204" s="548"/>
    </row>
    <row r="205" spans="1:18" x14ac:dyDescent="0.35">
      <c r="A205" s="299"/>
      <c r="B205" s="757" t="str">
        <f>Language!A618</f>
        <v>Costo semanal recolección[$$$/semana]</v>
      </c>
      <c r="C205" s="758" t="e">
        <f>SUM(C201:C202)*'3) Parametros_modelo'!$C$43*'3) Parametros_modelo'!$C$45</f>
        <v>#DIV/0!</v>
      </c>
      <c r="D205" s="758" t="e">
        <f>SUM(D201:D202)*'3) Parametros_modelo'!$C$43*'3) Parametros_modelo'!$C$45</f>
        <v>#DIV/0!</v>
      </c>
      <c r="E205" s="758" t="e">
        <f>SUM(E201:E202)*'3) Parametros_modelo'!$C$43*'3) Parametros_modelo'!$C$45</f>
        <v>#DIV/0!</v>
      </c>
      <c r="F205" s="758" t="e">
        <f>SUM(F201:F202)*'3) Parametros_modelo'!$C$43*'3) Parametros_modelo'!$C$45</f>
        <v>#DIV/0!</v>
      </c>
      <c r="G205" s="758" t="e">
        <f>SUM(G201:G202)*'3) Parametros_modelo'!$C$43*'3) Parametros_modelo'!$C$45</f>
        <v>#DIV/0!</v>
      </c>
      <c r="H205" s="758" t="e">
        <f>SUM(H201:H202)*'3) Parametros_modelo'!$C$43*'3) Parametros_modelo'!$C$45</f>
        <v>#DIV/0!</v>
      </c>
      <c r="I205" s="1067" t="e">
        <f>SUM(I201:I202)*'3) Parametros_modelo'!$C$43*'3) Parametros_modelo'!$C$45</f>
        <v>#DIV/0!</v>
      </c>
      <c r="J205" s="1067"/>
      <c r="K205" s="1067"/>
      <c r="L205" s="1067"/>
      <c r="M205" s="1067" t="e">
        <f>SUM(M201:M202)*'3) Parametros_modelo'!$C$43*'3) Parametros_modelo'!$C$45</f>
        <v>#DIV/0!</v>
      </c>
      <c r="N205" s="1067"/>
      <c r="O205" s="1067"/>
      <c r="P205" s="1067"/>
      <c r="Q205" s="548"/>
    </row>
    <row r="206" spans="1:18" x14ac:dyDescent="0.35">
      <c r="A206" s="299"/>
      <c r="B206" s="757" t="str">
        <f>Language!A619</f>
        <v>Costo semanal transferencia [$$$/semana]</v>
      </c>
      <c r="C206" s="748" t="e">
        <f>C204*'3) Parametros_modelo'!$C$44*'3) Parametros_modelo'!$C$45+C203*'3) Parametros_modelo'!$C$43*'3) Parametros_modelo'!$C$45</f>
        <v>#DIV/0!</v>
      </c>
      <c r="D206" s="748" t="e">
        <f>D204*'3) Parametros_modelo'!$C$44*'3) Parametros_modelo'!$C$45+D203*'3) Parametros_modelo'!$C$43*'3) Parametros_modelo'!$C$45</f>
        <v>#DIV/0!</v>
      </c>
      <c r="E206" s="748" t="e">
        <f>E204*'3) Parametros_modelo'!$C$44*'3) Parametros_modelo'!$C$45+E203*'3) Parametros_modelo'!$C$43*'3) Parametros_modelo'!$C$45</f>
        <v>#DIV/0!</v>
      </c>
      <c r="F206" s="748" t="e">
        <f>F204*'3) Parametros_modelo'!$C$44*'3) Parametros_modelo'!$C$45+F203*'3) Parametros_modelo'!$C$43*'3) Parametros_modelo'!$C$45</f>
        <v>#DIV/0!</v>
      </c>
      <c r="G206" s="748" t="e">
        <f>G204*'3) Parametros_modelo'!$C$44*'3) Parametros_modelo'!$C$45+G203*'3) Parametros_modelo'!$C$43*'3) Parametros_modelo'!$C$45</f>
        <v>#DIV/0!</v>
      </c>
      <c r="H206" s="748" t="e">
        <f>H204*'3) Parametros_modelo'!$C$44*'3) Parametros_modelo'!$C$45+H203*'3) Parametros_modelo'!$C$43*'3) Parametros_modelo'!$C$45</f>
        <v>#DIV/0!</v>
      </c>
      <c r="I206" s="1079" t="e">
        <f>I204*'3) Parametros_modelo'!$C$44*'3) Parametros_modelo'!$C$45+I203*'3) Parametros_modelo'!$C$43*'3) Parametros_modelo'!$C$45</f>
        <v>#DIV/0!</v>
      </c>
      <c r="J206" s="1079"/>
      <c r="K206" s="1079"/>
      <c r="L206" s="1079"/>
      <c r="M206" s="1079" t="e">
        <f>M204*'3) Parametros_modelo'!$C$44*'3) Parametros_modelo'!$C$45+M203*'3) Parametros_modelo'!$C$43*'3) Parametros_modelo'!$C$45</f>
        <v>#DIV/0!</v>
      </c>
      <c r="N206" s="1079"/>
      <c r="O206" s="1079"/>
      <c r="P206" s="1079"/>
      <c r="Q206" s="548"/>
    </row>
    <row r="207" spans="1:18" ht="15" thickBot="1" x14ac:dyDescent="0.4">
      <c r="A207" s="299"/>
      <c r="B207" s="759" t="str">
        <f>Language!A620</f>
        <v>Costo semanal total [$$$/semana]</v>
      </c>
      <c r="C207" s="760" t="e">
        <f t="shared" ref="C207:I207" si="92">SUM(C205:C206)</f>
        <v>#DIV/0!</v>
      </c>
      <c r="D207" s="760" t="e">
        <f t="shared" si="92"/>
        <v>#DIV/0!</v>
      </c>
      <c r="E207" s="760" t="e">
        <f t="shared" si="92"/>
        <v>#DIV/0!</v>
      </c>
      <c r="F207" s="760" t="e">
        <f t="shared" si="92"/>
        <v>#DIV/0!</v>
      </c>
      <c r="G207" s="760" t="e">
        <f t="shared" si="92"/>
        <v>#DIV/0!</v>
      </c>
      <c r="H207" s="760" t="e">
        <f t="shared" si="92"/>
        <v>#DIV/0!</v>
      </c>
      <c r="I207" s="1061" t="e">
        <f t="shared" si="92"/>
        <v>#DIV/0!</v>
      </c>
      <c r="J207" s="1061"/>
      <c r="K207" s="1061"/>
      <c r="L207" s="1061"/>
      <c r="M207" s="1061" t="e">
        <f>SUM(M205:M206)</f>
        <v>#DIV/0!</v>
      </c>
      <c r="N207" s="1061"/>
      <c r="O207" s="1061"/>
      <c r="P207" s="1061"/>
      <c r="Q207" s="734"/>
    </row>
    <row r="208" spans="1:18" x14ac:dyDescent="0.35">
      <c r="A208" s="299"/>
      <c r="B208" s="753" t="str">
        <f>Language!A621</f>
        <v>Costo de gasolina recolección total [$$$/año]</v>
      </c>
      <c r="C208" s="761" t="e">
        <f>C205*52</f>
        <v>#DIV/0!</v>
      </c>
      <c r="D208" s="761" t="e">
        <f t="shared" ref="D208:M208" si="93">D205*52</f>
        <v>#DIV/0!</v>
      </c>
      <c r="E208" s="761" t="e">
        <f t="shared" si="93"/>
        <v>#DIV/0!</v>
      </c>
      <c r="F208" s="761" t="e">
        <f t="shared" si="93"/>
        <v>#DIV/0!</v>
      </c>
      <c r="G208" s="761" t="e">
        <f t="shared" si="93"/>
        <v>#DIV/0!</v>
      </c>
      <c r="H208" s="761" t="e">
        <f t="shared" si="93"/>
        <v>#DIV/0!</v>
      </c>
      <c r="I208" s="1076" t="e">
        <f t="shared" si="93"/>
        <v>#DIV/0!</v>
      </c>
      <c r="J208" s="1076"/>
      <c r="K208" s="1076"/>
      <c r="L208" s="1076"/>
      <c r="M208" s="1076" t="e">
        <f t="shared" si="93"/>
        <v>#DIV/0!</v>
      </c>
      <c r="N208" s="1076"/>
      <c r="O208" s="1076"/>
      <c r="P208" s="1076"/>
      <c r="Q208" s="756"/>
    </row>
    <row r="209" spans="1:18" x14ac:dyDescent="0.35">
      <c r="A209" s="299"/>
      <c r="B209" s="757" t="str">
        <f>Language!A622</f>
        <v>Costo de gasolina transferencia total [$$$/año]</v>
      </c>
      <c r="C209" s="721" t="e">
        <f>C206*52</f>
        <v>#DIV/0!</v>
      </c>
      <c r="D209" s="721" t="e">
        <f t="shared" ref="D209:M209" si="94">D206*52</f>
        <v>#DIV/0!</v>
      </c>
      <c r="E209" s="721" t="e">
        <f t="shared" si="94"/>
        <v>#DIV/0!</v>
      </c>
      <c r="F209" s="721" t="e">
        <f t="shared" si="94"/>
        <v>#DIV/0!</v>
      </c>
      <c r="G209" s="721" t="e">
        <f t="shared" si="94"/>
        <v>#DIV/0!</v>
      </c>
      <c r="H209" s="721" t="e">
        <f t="shared" si="94"/>
        <v>#DIV/0!</v>
      </c>
      <c r="I209" s="1067" t="e">
        <f t="shared" si="94"/>
        <v>#DIV/0!</v>
      </c>
      <c r="J209" s="1067"/>
      <c r="K209" s="1067"/>
      <c r="L209" s="1067"/>
      <c r="M209" s="1067" t="e">
        <f t="shared" si="94"/>
        <v>#DIV/0!</v>
      </c>
      <c r="N209" s="1067"/>
      <c r="O209" s="1067"/>
      <c r="P209" s="1067"/>
      <c r="Q209" s="548"/>
    </row>
    <row r="210" spans="1:18" x14ac:dyDescent="0.35">
      <c r="A210" s="299"/>
      <c r="B210" s="757" t="str">
        <f>Language!A623</f>
        <v>Costo de gasolina anual total [$$$/año]</v>
      </c>
      <c r="C210" s="721" t="e">
        <f>C207*52</f>
        <v>#DIV/0!</v>
      </c>
      <c r="D210" s="721" t="e">
        <f t="shared" ref="D210:I210" si="95">D207*52</f>
        <v>#DIV/0!</v>
      </c>
      <c r="E210" s="721" t="e">
        <f t="shared" si="95"/>
        <v>#DIV/0!</v>
      </c>
      <c r="F210" s="721" t="e">
        <f t="shared" si="95"/>
        <v>#DIV/0!</v>
      </c>
      <c r="G210" s="721" t="e">
        <f t="shared" si="95"/>
        <v>#DIV/0!</v>
      </c>
      <c r="H210" s="721" t="e">
        <f t="shared" si="95"/>
        <v>#DIV/0!</v>
      </c>
      <c r="I210" s="1067" t="e">
        <f t="shared" si="95"/>
        <v>#DIV/0!</v>
      </c>
      <c r="J210" s="1067"/>
      <c r="K210" s="1067"/>
      <c r="L210" s="1067"/>
      <c r="M210" s="1067" t="e">
        <f>M207*52</f>
        <v>#DIV/0!</v>
      </c>
      <c r="N210" s="1067"/>
      <c r="O210" s="1067"/>
      <c r="P210" s="1067"/>
      <c r="Q210" s="548"/>
    </row>
    <row r="211" spans="1:18" x14ac:dyDescent="0.35">
      <c r="A211" s="299"/>
      <c r="B211" s="757" t="str">
        <f>Language!A624</f>
        <v>Costo de seguros de flota de vehículos [$$$/año]</v>
      </c>
      <c r="C211" s="721" t="e">
        <f t="shared" ref="C211:I211" si="96">C156+C178</f>
        <v>#DIV/0!</v>
      </c>
      <c r="D211" s="721" t="e">
        <f t="shared" si="96"/>
        <v>#DIV/0!</v>
      </c>
      <c r="E211" s="721" t="e">
        <f t="shared" si="96"/>
        <v>#DIV/0!</v>
      </c>
      <c r="F211" s="721" t="e">
        <f t="shared" si="96"/>
        <v>#DIV/0!</v>
      </c>
      <c r="G211" s="721" t="e">
        <f t="shared" si="96"/>
        <v>#DIV/0!</v>
      </c>
      <c r="H211" s="721" t="e">
        <f t="shared" si="96"/>
        <v>#DIV/0!</v>
      </c>
      <c r="I211" s="1067" t="e">
        <f t="shared" si="96"/>
        <v>#DIV/0!</v>
      </c>
      <c r="J211" s="1067"/>
      <c r="K211" s="1067"/>
      <c r="L211" s="1067"/>
      <c r="M211" s="1067" t="e">
        <f>M156+M178</f>
        <v>#DIV/0!</v>
      </c>
      <c r="N211" s="1067"/>
      <c r="O211" s="1067"/>
      <c r="P211" s="1067"/>
      <c r="Q211" s="548"/>
    </row>
    <row r="212" spans="1:18" x14ac:dyDescent="0.35">
      <c r="A212" s="299"/>
      <c r="B212" s="757" t="str">
        <f>Language!A625</f>
        <v>Costo de mantenimiento de flota de vehículos [$$$/año]</v>
      </c>
      <c r="C212" s="721" t="e">
        <f t="shared" ref="C212:I212" si="97">C179+C157</f>
        <v>#DIV/0!</v>
      </c>
      <c r="D212" s="721" t="e">
        <f t="shared" si="97"/>
        <v>#DIV/0!</v>
      </c>
      <c r="E212" s="721" t="e">
        <f t="shared" si="97"/>
        <v>#DIV/0!</v>
      </c>
      <c r="F212" s="721" t="e">
        <f t="shared" si="97"/>
        <v>#DIV/0!</v>
      </c>
      <c r="G212" s="721" t="e">
        <f t="shared" si="97"/>
        <v>#DIV/0!</v>
      </c>
      <c r="H212" s="721" t="e">
        <f t="shared" si="97"/>
        <v>#DIV/0!</v>
      </c>
      <c r="I212" s="1067" t="e">
        <f t="shared" si="97"/>
        <v>#DIV/0!</v>
      </c>
      <c r="J212" s="1067"/>
      <c r="K212" s="1067"/>
      <c r="L212" s="1067"/>
      <c r="M212" s="1067" t="e">
        <f>M179+M157</f>
        <v>#DIV/0!</v>
      </c>
      <c r="N212" s="1067"/>
      <c r="O212" s="1067"/>
      <c r="P212" s="1067"/>
      <c r="Q212" s="762"/>
    </row>
    <row r="213" spans="1:18" x14ac:dyDescent="0.35">
      <c r="A213" s="299"/>
      <c r="B213" s="757" t="str">
        <f>Language!A626</f>
        <v>Tasa de interés para cálculo de préstamo [%]</v>
      </c>
      <c r="C213" s="18">
        <v>0.05</v>
      </c>
      <c r="D213" s="18">
        <v>0.05</v>
      </c>
      <c r="E213" s="18">
        <v>0.05</v>
      </c>
      <c r="F213" s="18">
        <v>0.05</v>
      </c>
      <c r="G213" s="18">
        <v>0.05</v>
      </c>
      <c r="H213" s="18">
        <v>0.05</v>
      </c>
      <c r="I213" s="1074">
        <v>0.05</v>
      </c>
      <c r="J213" s="1074"/>
      <c r="K213" s="1074"/>
      <c r="L213" s="1074"/>
      <c r="M213" s="1074">
        <v>0.05</v>
      </c>
      <c r="N213" s="1074"/>
      <c r="O213" s="1074"/>
      <c r="P213" s="1074"/>
      <c r="Q213" s="548" t="str">
        <f>Language!A638</f>
        <v>Por defecto = 5%</v>
      </c>
    </row>
    <row r="214" spans="1:18" x14ac:dyDescent="0.35">
      <c r="A214" s="299"/>
      <c r="B214" s="757" t="str">
        <f>Language!A627</f>
        <v>Tiempo de depreciación vehículo de recolección [años]</v>
      </c>
      <c r="C214" s="718" t="e">
        <f>'3) Parametros_modelo'!$C$118/'5) Calculos'!C223</f>
        <v>#DIV/0!</v>
      </c>
      <c r="D214" s="718" t="e">
        <f>'3) Parametros_modelo'!$C$118/'5) Calculos'!D223</f>
        <v>#DIV/0!</v>
      </c>
      <c r="E214" s="718" t="e">
        <f>'3) Parametros_modelo'!$C$118/'5) Calculos'!E223</f>
        <v>#DIV/0!</v>
      </c>
      <c r="F214" s="718" t="e">
        <f>'3) Parametros_modelo'!$C$118/'5) Calculos'!F223</f>
        <v>#DIV/0!</v>
      </c>
      <c r="G214" s="718" t="e">
        <f>'3) Parametros_modelo'!$C$118/'5) Calculos'!G223</f>
        <v>#DIV/0!</v>
      </c>
      <c r="H214" s="718" t="e">
        <f>'3) Parametros_modelo'!$C$118/'5) Calculos'!H223</f>
        <v>#DIV/0!</v>
      </c>
      <c r="I214" s="718" t="e">
        <f>'3) Parametros_modelo'!$C$118/'5) Calculos'!I223</f>
        <v>#DIV/0!</v>
      </c>
      <c r="J214" s="763"/>
      <c r="K214" s="763"/>
      <c r="L214" s="763"/>
      <c r="M214" s="718" t="e">
        <f>'3) Parametros_modelo'!$C$118/'5) Calculos'!M223</f>
        <v>#DIV/0!</v>
      </c>
      <c r="N214" s="763"/>
      <c r="O214" s="763"/>
      <c r="P214" s="763"/>
      <c r="Q214" s="548"/>
    </row>
    <row r="215" spans="1:18" x14ac:dyDescent="0.35">
      <c r="A215" s="299"/>
      <c r="B215" s="757" t="str">
        <f>Language!A628</f>
        <v>Tiempo de depreciación vehículo de transferencia [años]</v>
      </c>
      <c r="C215" s="358" t="e">
        <f>IF(C224=0,,'3) Parametros_modelo'!$C$120/C224)</f>
        <v>#DIV/0!</v>
      </c>
      <c r="D215" s="718" t="e">
        <f>IF(D224=0,,'3) Parametros_modelo'!$C$120/D224)</f>
        <v>#DIV/0!</v>
      </c>
      <c r="E215" s="358" t="e">
        <f>IF(E224=0,,'3) Parametros_modelo'!$C$120/E224)</f>
        <v>#DIV/0!</v>
      </c>
      <c r="F215" s="718" t="e">
        <f>IF(F224=0,,'3) Parametros_modelo'!$C$120/F224)</f>
        <v>#DIV/0!</v>
      </c>
      <c r="G215" s="358" t="e">
        <f>IF(G224=0,,'3) Parametros_modelo'!$C$120/G224)</f>
        <v>#DIV/0!</v>
      </c>
      <c r="H215" s="718" t="e">
        <f>IF(H224=0,,'3) Parametros_modelo'!$C$120/H224)</f>
        <v>#DIV/0!</v>
      </c>
      <c r="I215" s="358" t="e">
        <f>IF(I224=0,,'3) Parametros_modelo'!$C$120/I224)</f>
        <v>#DIV/0!</v>
      </c>
      <c r="J215" s="763"/>
      <c r="K215" s="763"/>
      <c r="L215" s="763"/>
      <c r="M215" s="358" t="e">
        <f>IF(M224=0,,'3) Parametros_modelo'!$C$120/M224)</f>
        <v>#DIV/0!</v>
      </c>
      <c r="N215" s="763"/>
      <c r="O215" s="763"/>
      <c r="P215" s="763"/>
      <c r="Q215" s="548"/>
    </row>
    <row r="216" spans="1:18" x14ac:dyDescent="0.35">
      <c r="A216" s="299"/>
      <c r="B216" s="757" t="str">
        <f>Language!A629</f>
        <v>Amortización de estación de transferencia [$$$/año]</v>
      </c>
      <c r="C216" s="758">
        <f>(C182*C213*((1+C213)^'3) Parametros_modelo'!$C$124))/(((1+C213)^'3) Parametros_modelo'!$C$124)-1)</f>
        <v>0</v>
      </c>
      <c r="D216" s="758">
        <f>(D182*D213*((1+D213)^'3) Parametros_modelo'!$C$124))/(((1+D213)^'3) Parametros_modelo'!$C$124)-1)</f>
        <v>8024.2587190691311</v>
      </c>
      <c r="E216" s="758">
        <f>(E182*E213*((1+E213)^'3) Parametros_modelo'!$C$124))/(((1+E213)^'3) Parametros_modelo'!$C$124)-1)</f>
        <v>0</v>
      </c>
      <c r="F216" s="721">
        <f>(F182*F213*((1+F213)^'3) Parametros_modelo'!C124))/(((1+'5) Calculos'!F213)^'3) Parametros_modelo'!C124)-1)</f>
        <v>8024.2587190691311</v>
      </c>
      <c r="G216" s="721">
        <f>(G182*G213*((1+G213)^'3) Parametros_modelo'!$C$124))/(((1+G213)^'3) Parametros_modelo'!$C$124)-1)</f>
        <v>0</v>
      </c>
      <c r="H216" s="721">
        <f>(H182*H213*((1+H213)^'3) Parametros_modelo'!$C$124))/(((1+H213)^'3) Parametros_modelo'!$C$124)-1)</f>
        <v>8024.2587190691311</v>
      </c>
      <c r="I216" s="1067">
        <f>(I182*I213*((1+I213)^'3) Parametros_modelo'!$C$124))/(((1+I213)^'3) Parametros_modelo'!$C$124)-1)</f>
        <v>0</v>
      </c>
      <c r="J216" s="1067"/>
      <c r="K216" s="1067"/>
      <c r="L216" s="1067"/>
      <c r="M216" s="1067">
        <f>(M182*M213*((1+M213)^'3) Parametros_modelo'!$C$124))/(((1+M213)^'3) Parametros_modelo'!$C$124)-1)</f>
        <v>8024.2587190691311</v>
      </c>
      <c r="N216" s="1067"/>
      <c r="O216" s="1067"/>
      <c r="P216" s="1067"/>
      <c r="Q216" s="548"/>
    </row>
    <row r="217" spans="1:18" x14ac:dyDescent="0.35">
      <c r="A217" s="299"/>
      <c r="B217" s="757" t="str">
        <f>Language!A630</f>
        <v>Amortización de camiones de recolección [$$$/año]</v>
      </c>
      <c r="C217" s="758" t="e">
        <f t="shared" ref="C217:I217" si="98">(C155*C213*((1+C213)^C214))/(((1+C213)^C214)-1)</f>
        <v>#DIV/0!</v>
      </c>
      <c r="D217" s="758" t="e">
        <f t="shared" si="98"/>
        <v>#DIV/0!</v>
      </c>
      <c r="E217" s="758" t="e">
        <f t="shared" si="98"/>
        <v>#DIV/0!</v>
      </c>
      <c r="F217" s="758" t="e">
        <f t="shared" si="98"/>
        <v>#DIV/0!</v>
      </c>
      <c r="G217" s="758" t="e">
        <f t="shared" si="98"/>
        <v>#DIV/0!</v>
      </c>
      <c r="H217" s="758" t="e">
        <f t="shared" si="98"/>
        <v>#DIV/0!</v>
      </c>
      <c r="I217" s="1067" t="e">
        <f t="shared" si="98"/>
        <v>#DIV/0!</v>
      </c>
      <c r="J217" s="1067"/>
      <c r="K217" s="1067"/>
      <c r="L217" s="1067"/>
      <c r="M217" s="1067" t="e">
        <f>(M155*M213*((1+M213)^M214))/(((1+M213)^M214)-1)</f>
        <v>#DIV/0!</v>
      </c>
      <c r="N217" s="1067"/>
      <c r="O217" s="1067"/>
      <c r="P217" s="1067"/>
      <c r="Q217" s="548"/>
    </row>
    <row r="218" spans="1:18" x14ac:dyDescent="0.35">
      <c r="A218" s="299"/>
      <c r="B218" s="757" t="str">
        <f>Language!A631</f>
        <v>Amortización de contenedores [$$$/año]</v>
      </c>
      <c r="C218" s="721">
        <v>0</v>
      </c>
      <c r="D218" s="721">
        <v>0</v>
      </c>
      <c r="E218" s="721">
        <v>0</v>
      </c>
      <c r="F218" s="721">
        <v>0</v>
      </c>
      <c r="G218" s="721" t="e">
        <f>('3) Parametros_modelo'!$C$123*G94*G213*((1+G213)^'3) Parametros_modelo'!$C$122))/(((1+G213)^'3) Parametros_modelo'!$C$122)-1)</f>
        <v>#DIV/0!</v>
      </c>
      <c r="H218" s="721" t="e">
        <f>('3) Parametros_modelo'!$C$123*H94*H213*((1+H213)^'3) Parametros_modelo'!$C$122))/(((1+H213)^'3) Parametros_modelo'!$C$122)-1)</f>
        <v>#DIV/0!</v>
      </c>
      <c r="I218" s="1067" t="e">
        <f>('3) Parametros_modelo'!$C$123*I94*I213*((1+I213)^'3) Parametros_modelo'!$C$122))/(((1+I213)^'3) Parametros_modelo'!$C$122)-1)</f>
        <v>#DIV/0!</v>
      </c>
      <c r="J218" s="1067"/>
      <c r="K218" s="1067"/>
      <c r="L218" s="1067"/>
      <c r="M218" s="1067" t="e">
        <f>('3) Parametros_modelo'!$C$123*M94*M213*((1+M213)^'3) Parametros_modelo'!$C$122))/(((1+M213)^'3) Parametros_modelo'!$C$122)-1)</f>
        <v>#DIV/0!</v>
      </c>
      <c r="N218" s="1067"/>
      <c r="O218" s="1067"/>
      <c r="P218" s="1067"/>
      <c r="Q218" s="548"/>
    </row>
    <row r="219" spans="1:18" ht="15" thickBot="1" x14ac:dyDescent="0.4">
      <c r="A219" s="299"/>
      <c r="B219" s="759" t="str">
        <f>Language!A632</f>
        <v>Amortización de camiones de transferencia [$$$/año]</v>
      </c>
      <c r="C219" s="752" t="e">
        <f t="shared" ref="C219:I219" si="99">IF(C215=0,,(C177*C213*((1+C213)^C215))/(((1+C213)^C215)-1))</f>
        <v>#DIV/0!</v>
      </c>
      <c r="D219" s="764" t="e">
        <f t="shared" si="99"/>
        <v>#DIV/0!</v>
      </c>
      <c r="E219" s="764" t="e">
        <f t="shared" si="99"/>
        <v>#DIV/0!</v>
      </c>
      <c r="F219" s="764" t="e">
        <f t="shared" si="99"/>
        <v>#DIV/0!</v>
      </c>
      <c r="G219" s="764" t="e">
        <f t="shared" si="99"/>
        <v>#DIV/0!</v>
      </c>
      <c r="H219" s="764" t="e">
        <f t="shared" si="99"/>
        <v>#DIV/0!</v>
      </c>
      <c r="I219" s="1061" t="e">
        <f t="shared" si="99"/>
        <v>#DIV/0!</v>
      </c>
      <c r="J219" s="1061"/>
      <c r="K219" s="1061"/>
      <c r="L219" s="1061"/>
      <c r="M219" s="1061" t="e">
        <f>IF(M215=0,,(M177*M213*((1+M213)^M215))/(((1+M213)^M215)-1))</f>
        <v>#DIV/0!</v>
      </c>
      <c r="N219" s="1061"/>
      <c r="O219" s="1061"/>
      <c r="P219" s="1061"/>
      <c r="Q219" s="734"/>
    </row>
    <row r="220" spans="1:18" x14ac:dyDescent="0.35">
      <c r="A220" s="299"/>
      <c r="B220" s="753" t="str">
        <f>Language!A633</f>
        <v>Kilometraje de vehículos de recolección total por año [km/año]</v>
      </c>
      <c r="C220" s="754" t="e">
        <f>SUM(C201:C203)*52</f>
        <v>#DIV/0!</v>
      </c>
      <c r="D220" s="754" t="e">
        <f t="shared" ref="D220:P220" si="100">SUM(D201:D203)*52</f>
        <v>#DIV/0!</v>
      </c>
      <c r="E220" s="754" t="e">
        <f t="shared" si="100"/>
        <v>#DIV/0!</v>
      </c>
      <c r="F220" s="754" t="e">
        <f t="shared" si="100"/>
        <v>#DIV/0!</v>
      </c>
      <c r="G220" s="754" t="e">
        <f t="shared" si="100"/>
        <v>#DIV/0!</v>
      </c>
      <c r="H220" s="754" t="e">
        <f t="shared" si="100"/>
        <v>#DIV/0!</v>
      </c>
      <c r="I220" s="754" t="e">
        <f t="shared" si="100"/>
        <v>#DIV/0!</v>
      </c>
      <c r="J220" s="754" t="e">
        <f t="shared" si="100"/>
        <v>#DIV/0!</v>
      </c>
      <c r="K220" s="754" t="e">
        <f t="shared" si="100"/>
        <v>#DIV/0!</v>
      </c>
      <c r="L220" s="754" t="e">
        <f t="shared" si="100"/>
        <v>#DIV/0!</v>
      </c>
      <c r="M220" s="754" t="e">
        <f t="shared" si="100"/>
        <v>#DIV/0!</v>
      </c>
      <c r="N220" s="754" t="e">
        <f t="shared" si="100"/>
        <v>#DIV/0!</v>
      </c>
      <c r="O220" s="754" t="e">
        <f t="shared" si="100"/>
        <v>#DIV/0!</v>
      </c>
      <c r="P220" s="754" t="e">
        <f t="shared" si="100"/>
        <v>#DIV/0!</v>
      </c>
      <c r="Q220" s="756"/>
    </row>
    <row r="221" spans="1:18" x14ac:dyDescent="0.35">
      <c r="A221" s="299"/>
      <c r="B221" s="757" t="str">
        <f>Language!A634</f>
        <v>Kilometraje de vehículos de transferencia total por año [km/año]</v>
      </c>
      <c r="C221" s="758" t="e">
        <f>C204*52</f>
        <v>#DIV/0!</v>
      </c>
      <c r="D221" s="758" t="e">
        <f t="shared" ref="D221:P221" si="101">D204*52</f>
        <v>#DIV/0!</v>
      </c>
      <c r="E221" s="758" t="e">
        <f t="shared" si="101"/>
        <v>#DIV/0!</v>
      </c>
      <c r="F221" s="758" t="e">
        <f t="shared" si="101"/>
        <v>#DIV/0!</v>
      </c>
      <c r="G221" s="758" t="e">
        <f t="shared" si="101"/>
        <v>#DIV/0!</v>
      </c>
      <c r="H221" s="758" t="e">
        <f t="shared" si="101"/>
        <v>#DIV/0!</v>
      </c>
      <c r="I221" s="758" t="e">
        <f t="shared" si="101"/>
        <v>#DIV/0!</v>
      </c>
      <c r="J221" s="758">
        <f>J204*52</f>
        <v>0</v>
      </c>
      <c r="K221" s="758">
        <f t="shared" si="101"/>
        <v>0</v>
      </c>
      <c r="L221" s="758">
        <f t="shared" si="101"/>
        <v>0</v>
      </c>
      <c r="M221" s="758" t="e">
        <f t="shared" si="101"/>
        <v>#DIV/0!</v>
      </c>
      <c r="N221" s="758">
        <f t="shared" si="101"/>
        <v>0</v>
      </c>
      <c r="O221" s="758">
        <f t="shared" si="101"/>
        <v>0</v>
      </c>
      <c r="P221" s="758">
        <f t="shared" si="101"/>
        <v>0</v>
      </c>
      <c r="Q221" s="548"/>
    </row>
    <row r="222" spans="1:18" x14ac:dyDescent="0.35">
      <c r="A222" s="299"/>
      <c r="B222" s="757" t="str">
        <f>Language!A635</f>
        <v>Kilometraje total del servicio [km/año]</v>
      </c>
      <c r="C222" s="758" t="e">
        <f>SUM(C220:C221)</f>
        <v>#DIV/0!</v>
      </c>
      <c r="D222" s="758" t="e">
        <f t="shared" ref="D222:P222" si="102">SUM(D220:D221)</f>
        <v>#DIV/0!</v>
      </c>
      <c r="E222" s="758" t="e">
        <f t="shared" si="102"/>
        <v>#DIV/0!</v>
      </c>
      <c r="F222" s="758" t="e">
        <f t="shared" si="102"/>
        <v>#DIV/0!</v>
      </c>
      <c r="G222" s="758" t="e">
        <f t="shared" si="102"/>
        <v>#DIV/0!</v>
      </c>
      <c r="H222" s="758" t="e">
        <f t="shared" si="102"/>
        <v>#DIV/0!</v>
      </c>
      <c r="I222" s="758" t="e">
        <f t="shared" si="102"/>
        <v>#DIV/0!</v>
      </c>
      <c r="J222" s="758" t="e">
        <f t="shared" si="102"/>
        <v>#DIV/0!</v>
      </c>
      <c r="K222" s="758" t="e">
        <f t="shared" si="102"/>
        <v>#DIV/0!</v>
      </c>
      <c r="L222" s="758" t="e">
        <f t="shared" si="102"/>
        <v>#DIV/0!</v>
      </c>
      <c r="M222" s="758" t="e">
        <f t="shared" si="102"/>
        <v>#DIV/0!</v>
      </c>
      <c r="N222" s="758" t="e">
        <f t="shared" si="102"/>
        <v>#DIV/0!</v>
      </c>
      <c r="O222" s="758" t="e">
        <f t="shared" si="102"/>
        <v>#DIV/0!</v>
      </c>
      <c r="P222" s="758" t="e">
        <f t="shared" si="102"/>
        <v>#DIV/0!</v>
      </c>
      <c r="Q222" s="548"/>
    </row>
    <row r="223" spans="1:18" x14ac:dyDescent="0.35">
      <c r="A223" s="299"/>
      <c r="B223" s="757" t="str">
        <f>Language!A636</f>
        <v>Kilometraje anual por vehículo de recolección [km/año*vehículo]</v>
      </c>
      <c r="C223" s="758" t="e">
        <f t="shared" ref="C223:I223" si="103">52*(C201+C202+C203)/C154</f>
        <v>#DIV/0!</v>
      </c>
      <c r="D223" s="758" t="e">
        <f t="shared" si="103"/>
        <v>#DIV/0!</v>
      </c>
      <c r="E223" s="758" t="e">
        <f t="shared" si="103"/>
        <v>#DIV/0!</v>
      </c>
      <c r="F223" s="758" t="e">
        <f t="shared" si="103"/>
        <v>#DIV/0!</v>
      </c>
      <c r="G223" s="758" t="e">
        <f t="shared" si="103"/>
        <v>#DIV/0!</v>
      </c>
      <c r="H223" s="758" t="e">
        <f t="shared" si="103"/>
        <v>#DIV/0!</v>
      </c>
      <c r="I223" s="1067" t="e">
        <f t="shared" si="103"/>
        <v>#DIV/0!</v>
      </c>
      <c r="J223" s="1067"/>
      <c r="K223" s="1067"/>
      <c r="L223" s="1067"/>
      <c r="M223" s="1067" t="e">
        <f>52*(M201+M202+M203)/M154</f>
        <v>#DIV/0!</v>
      </c>
      <c r="N223" s="1067"/>
      <c r="O223" s="1067"/>
      <c r="P223" s="1067"/>
      <c r="Q223" s="548"/>
      <c r="R223" s="506"/>
    </row>
    <row r="224" spans="1:18" ht="15" thickBot="1" x14ac:dyDescent="0.4">
      <c r="A224" s="299"/>
      <c r="B224" s="759" t="str">
        <f>Language!A637</f>
        <v>Kilometraje anual por vehículo de transferencia [km/año*vehículo]</v>
      </c>
      <c r="C224" s="764" t="e">
        <f t="shared" ref="C224:I224" si="104">IF(C204=0, 0,52*C204/C176)</f>
        <v>#DIV/0!</v>
      </c>
      <c r="D224" s="764" t="e">
        <f t="shared" si="104"/>
        <v>#DIV/0!</v>
      </c>
      <c r="E224" s="764" t="e">
        <f t="shared" si="104"/>
        <v>#DIV/0!</v>
      </c>
      <c r="F224" s="764" t="e">
        <f t="shared" si="104"/>
        <v>#DIV/0!</v>
      </c>
      <c r="G224" s="764" t="e">
        <f t="shared" si="104"/>
        <v>#DIV/0!</v>
      </c>
      <c r="H224" s="764" t="e">
        <f t="shared" si="104"/>
        <v>#DIV/0!</v>
      </c>
      <c r="I224" s="1061" t="e">
        <f t="shared" si="104"/>
        <v>#DIV/0!</v>
      </c>
      <c r="J224" s="1061"/>
      <c r="K224" s="1061"/>
      <c r="L224" s="1061"/>
      <c r="M224" s="1061" t="e">
        <f>IF(M204=0, 0,52*M204/M176)</f>
        <v>#DIV/0!</v>
      </c>
      <c r="N224" s="1061"/>
      <c r="O224" s="1061"/>
      <c r="P224" s="1061"/>
      <c r="Q224" s="734"/>
    </row>
    <row r="225" spans="1:20" ht="15" thickBot="1" x14ac:dyDescent="0.4">
      <c r="A225" s="299"/>
      <c r="B225" s="665"/>
      <c r="C225" s="82"/>
      <c r="D225" s="765"/>
      <c r="E225" s="765"/>
      <c r="F225" s="765"/>
      <c r="G225" s="765"/>
      <c r="H225" s="765"/>
      <c r="I225" s="766"/>
      <c r="J225" s="766"/>
      <c r="K225" s="766"/>
      <c r="L225" s="766"/>
      <c r="M225" s="766"/>
      <c r="N225" s="766"/>
      <c r="O225" s="766"/>
      <c r="P225" s="766"/>
    </row>
    <row r="226" spans="1:20" x14ac:dyDescent="0.35">
      <c r="A226" s="299"/>
      <c r="B226" s="740" t="str">
        <f>Language!A639</f>
        <v>Distribución de kilometraje de vehículos de recolección</v>
      </c>
      <c r="C226" s="741"/>
      <c r="D226" s="741"/>
      <c r="E226" s="741"/>
      <c r="F226" s="494"/>
      <c r="G226" s="494"/>
      <c r="H226" s="494"/>
      <c r="I226" s="494"/>
      <c r="J226" s="494"/>
      <c r="K226" s="494"/>
      <c r="L226" s="494"/>
      <c r="M226" s="494"/>
      <c r="N226" s="494"/>
      <c r="O226" s="494"/>
      <c r="P226" s="494"/>
      <c r="Q226" s="495"/>
    </row>
    <row r="227" spans="1:20" x14ac:dyDescent="0.35">
      <c r="A227" s="299"/>
      <c r="B227" s="498" t="str">
        <f>Language!A640</f>
        <v>Recolección [%]</v>
      </c>
      <c r="C227" s="79" t="e">
        <f>SUM(C201:C202)/SUM(C201:C203)</f>
        <v>#DIV/0!</v>
      </c>
      <c r="D227" s="79" t="e">
        <f t="shared" ref="D227:P227" si="105">SUM(D201:D202)/SUM(D201:D203)</f>
        <v>#DIV/0!</v>
      </c>
      <c r="E227" s="79" t="e">
        <f t="shared" si="105"/>
        <v>#DIV/0!</v>
      </c>
      <c r="F227" s="79" t="e">
        <f t="shared" si="105"/>
        <v>#DIV/0!</v>
      </c>
      <c r="G227" s="79" t="e">
        <f t="shared" si="105"/>
        <v>#DIV/0!</v>
      </c>
      <c r="H227" s="79" t="e">
        <f t="shared" si="105"/>
        <v>#DIV/0!</v>
      </c>
      <c r="I227" s="79" t="e">
        <f t="shared" si="105"/>
        <v>#DIV/0!</v>
      </c>
      <c r="J227" s="79" t="e">
        <f t="shared" si="105"/>
        <v>#DIV/0!</v>
      </c>
      <c r="K227" s="79" t="e">
        <f t="shared" si="105"/>
        <v>#DIV/0!</v>
      </c>
      <c r="L227" s="79" t="e">
        <f t="shared" si="105"/>
        <v>#DIV/0!</v>
      </c>
      <c r="M227" s="79" t="e">
        <f t="shared" si="105"/>
        <v>#DIV/0!</v>
      </c>
      <c r="N227" s="79" t="e">
        <f t="shared" si="105"/>
        <v>#DIV/0!</v>
      </c>
      <c r="O227" s="79" t="e">
        <f t="shared" si="105"/>
        <v>#DIV/0!</v>
      </c>
      <c r="P227" s="79" t="e">
        <f t="shared" si="105"/>
        <v>#DIV/0!</v>
      </c>
      <c r="Q227" s="548"/>
    </row>
    <row r="228" spans="1:20" ht="15" thickBot="1" x14ac:dyDescent="0.4">
      <c r="A228" s="299"/>
      <c r="B228" s="672" t="str">
        <f>Language!A641</f>
        <v>Transporte [%]</v>
      </c>
      <c r="C228" s="80" t="e">
        <f>C203/SUM(C201:C203)</f>
        <v>#DIV/0!</v>
      </c>
      <c r="D228" s="80" t="e">
        <f t="shared" ref="D228:P228" si="106">D203/SUM(D201:D203)</f>
        <v>#DIV/0!</v>
      </c>
      <c r="E228" s="80" t="e">
        <f t="shared" si="106"/>
        <v>#DIV/0!</v>
      </c>
      <c r="F228" s="80" t="e">
        <f t="shared" si="106"/>
        <v>#DIV/0!</v>
      </c>
      <c r="G228" s="80" t="e">
        <f t="shared" si="106"/>
        <v>#DIV/0!</v>
      </c>
      <c r="H228" s="80" t="e">
        <f t="shared" si="106"/>
        <v>#DIV/0!</v>
      </c>
      <c r="I228" s="80" t="e">
        <f t="shared" si="106"/>
        <v>#DIV/0!</v>
      </c>
      <c r="J228" s="80" t="e">
        <f t="shared" si="106"/>
        <v>#DIV/0!</v>
      </c>
      <c r="K228" s="80" t="e">
        <f t="shared" si="106"/>
        <v>#DIV/0!</v>
      </c>
      <c r="L228" s="80" t="e">
        <f t="shared" si="106"/>
        <v>#DIV/0!</v>
      </c>
      <c r="M228" s="80" t="e">
        <f t="shared" si="106"/>
        <v>#DIV/0!</v>
      </c>
      <c r="N228" s="80" t="e">
        <f t="shared" si="106"/>
        <v>#DIV/0!</v>
      </c>
      <c r="O228" s="80" t="e">
        <f t="shared" si="106"/>
        <v>#DIV/0!</v>
      </c>
      <c r="P228" s="80" t="e">
        <f t="shared" si="106"/>
        <v>#DIV/0!</v>
      </c>
      <c r="Q228" s="734"/>
    </row>
    <row r="229" spans="1:20" ht="15" thickBot="1" x14ac:dyDescent="0.4">
      <c r="A229" s="299"/>
    </row>
    <row r="230" spans="1:20" x14ac:dyDescent="0.35">
      <c r="A230" s="299"/>
      <c r="B230" s="767" t="str">
        <f>Language!A642</f>
        <v>Estimación de costos de disposición final</v>
      </c>
      <c r="C230" s="744"/>
      <c r="D230" s="744"/>
      <c r="E230" s="744"/>
      <c r="F230" s="494"/>
      <c r="G230" s="494"/>
      <c r="H230" s="494"/>
      <c r="I230" s="494"/>
      <c r="J230" s="494"/>
      <c r="K230" s="494"/>
      <c r="L230" s="494"/>
      <c r="M230" s="494"/>
      <c r="N230" s="494"/>
      <c r="O230" s="494"/>
      <c r="P230" s="494"/>
      <c r="Q230" s="495"/>
    </row>
    <row r="231" spans="1:20" ht="30.65" customHeight="1" x14ac:dyDescent="0.35">
      <c r="A231" s="299"/>
      <c r="B231" s="768" t="str">
        <f>Language!A643</f>
        <v>Costos estimados de disposición final (operación, mantenimiento y inversión) por tonelada [$$$/ton]</v>
      </c>
      <c r="C231" s="83">
        <f>'3) Parametros_modelo'!$C$184</f>
        <v>20</v>
      </c>
      <c r="D231" s="83">
        <f>'3) Parametros_modelo'!$C$184</f>
        <v>20</v>
      </c>
      <c r="E231" s="83">
        <f>'3) Parametros_modelo'!$C$184</f>
        <v>20</v>
      </c>
      <c r="F231" s="83">
        <f>'3) Parametros_modelo'!$C$184</f>
        <v>20</v>
      </c>
      <c r="G231" s="83">
        <f>'3) Parametros_modelo'!$C$184</f>
        <v>20</v>
      </c>
      <c r="H231" s="83">
        <f>'3) Parametros_modelo'!$C$184</f>
        <v>20</v>
      </c>
      <c r="I231" s="1075">
        <f>'3) Parametros_modelo'!$C$184</f>
        <v>20</v>
      </c>
      <c r="J231" s="1075"/>
      <c r="K231" s="1075"/>
      <c r="L231" s="1075"/>
      <c r="M231" s="1075">
        <f>'3) Parametros_modelo'!$C$184</f>
        <v>20</v>
      </c>
      <c r="N231" s="1075"/>
      <c r="O231" s="1075"/>
      <c r="P231" s="1075"/>
      <c r="Q231" s="548" t="s">
        <v>208</v>
      </c>
    </row>
    <row r="232" spans="1:20" x14ac:dyDescent="0.35">
      <c r="A232" s="299"/>
      <c r="B232" s="768" t="str">
        <f>Language!A644</f>
        <v>Toneladas anuales depositadas [ton/año]</v>
      </c>
      <c r="C232" s="721">
        <f t="shared" ref="C232:H232" si="107">C88*7*52/1000</f>
        <v>0</v>
      </c>
      <c r="D232" s="721">
        <f t="shared" si="107"/>
        <v>0</v>
      </c>
      <c r="E232" s="721">
        <f t="shared" si="107"/>
        <v>0</v>
      </c>
      <c r="F232" s="721">
        <f t="shared" si="107"/>
        <v>0</v>
      </c>
      <c r="G232" s="721">
        <f t="shared" si="107"/>
        <v>0</v>
      </c>
      <c r="H232" s="721">
        <f t="shared" si="107"/>
        <v>0</v>
      </c>
      <c r="I232" s="1067">
        <f>(SUM(K91:L91)+I88*'3) Parametros_modelo'!$C$26*daysofgeneration)*52/1000</f>
        <v>0</v>
      </c>
      <c r="J232" s="1067"/>
      <c r="K232" s="1067"/>
      <c r="L232" s="1067"/>
      <c r="M232" s="1067">
        <f>(SUM(O91:P91)+M88*'3) Parametros_modelo'!$C$26*daysofgeneration)*52/1000</f>
        <v>0</v>
      </c>
      <c r="N232" s="1067"/>
      <c r="O232" s="1067"/>
      <c r="P232" s="1067"/>
      <c r="Q232" s="548"/>
    </row>
    <row r="233" spans="1:20" ht="15" thickBot="1" x14ac:dyDescent="0.4">
      <c r="A233" s="299"/>
      <c r="B233" s="769" t="str">
        <f>Language!A645</f>
        <v>Costos anuales totales [$$$/año]</v>
      </c>
      <c r="C233" s="760">
        <f t="shared" ref="C233:I233" si="108">C232*C231</f>
        <v>0</v>
      </c>
      <c r="D233" s="760">
        <f t="shared" si="108"/>
        <v>0</v>
      </c>
      <c r="E233" s="760">
        <f t="shared" si="108"/>
        <v>0</v>
      </c>
      <c r="F233" s="760">
        <f t="shared" si="108"/>
        <v>0</v>
      </c>
      <c r="G233" s="760">
        <f t="shared" si="108"/>
        <v>0</v>
      </c>
      <c r="H233" s="760">
        <f t="shared" si="108"/>
        <v>0</v>
      </c>
      <c r="I233" s="1061">
        <f t="shared" si="108"/>
        <v>0</v>
      </c>
      <c r="J233" s="1061"/>
      <c r="K233" s="1061"/>
      <c r="L233" s="1061"/>
      <c r="M233" s="1061">
        <f>M232*M231</f>
        <v>0</v>
      </c>
      <c r="N233" s="1061"/>
      <c r="O233" s="1061"/>
      <c r="P233" s="1061"/>
      <c r="Q233" s="734"/>
    </row>
    <row r="234" spans="1:20" ht="15" thickBot="1" x14ac:dyDescent="0.4">
      <c r="A234" s="299"/>
      <c r="B234" s="665"/>
      <c r="C234" s="665"/>
      <c r="D234" s="665"/>
      <c r="E234" s="665"/>
      <c r="F234" s="324"/>
      <c r="G234" s="324"/>
      <c r="H234" s="324"/>
      <c r="I234" s="324"/>
      <c r="J234" s="324"/>
      <c r="K234" s="324"/>
      <c r="L234" s="324"/>
      <c r="M234" s="324"/>
      <c r="N234" s="324"/>
      <c r="O234" s="324"/>
      <c r="P234" s="324"/>
    </row>
    <row r="235" spans="1:20" ht="87" x14ac:dyDescent="0.35">
      <c r="A235" s="299"/>
      <c r="B235" s="740" t="str">
        <f>Language!A647</f>
        <v>Estimación de costos de compostaje</v>
      </c>
      <c r="C235" s="741"/>
      <c r="D235" s="741"/>
      <c r="E235" s="741"/>
      <c r="F235" s="770"/>
      <c r="G235" s="770"/>
      <c r="H235" s="770"/>
      <c r="I235" s="770"/>
      <c r="J235" s="770"/>
      <c r="K235" s="770"/>
      <c r="L235" s="770"/>
      <c r="M235" s="770"/>
      <c r="N235" s="770"/>
      <c r="O235" s="770"/>
      <c r="P235" s="770"/>
      <c r="Q235" s="495"/>
      <c r="T235" s="397" t="s">
        <v>172</v>
      </c>
    </row>
    <row r="236" spans="1:20" ht="29" x14ac:dyDescent="0.35">
      <c r="A236" s="299"/>
      <c r="B236" s="768" t="str">
        <f>Language!A648</f>
        <v>Costos estimados de compostaje (operación, mantenimiento e inversión) por tonelada de residuos orgánicos entrantes [$$$/ton]</v>
      </c>
      <c r="C236" s="771"/>
      <c r="D236" s="771"/>
      <c r="E236" s="771"/>
      <c r="F236" s="503"/>
      <c r="G236" s="503"/>
      <c r="H236" s="503"/>
      <c r="I236" s="503"/>
      <c r="J236" s="503"/>
      <c r="K236" s="503"/>
      <c r="L236" s="83">
        <f>'3) Parametros_modelo'!$C$178</f>
        <v>20</v>
      </c>
      <c r="M236" s="503"/>
      <c r="N236" s="721"/>
      <c r="O236" s="721"/>
      <c r="P236" s="83">
        <f>'3) Parametros_modelo'!$C$178</f>
        <v>20</v>
      </c>
      <c r="Q236" s="548" t="str">
        <f>Language!A654</f>
        <v>Por defecto = 140</v>
      </c>
      <c r="R236" s="772"/>
    </row>
    <row r="237" spans="1:20" x14ac:dyDescent="0.35">
      <c r="A237" s="299"/>
      <c r="B237" s="768" t="str">
        <f>Language!A649</f>
        <v>Ingresos estimados por la venta del material compostado [$$$/ton]</v>
      </c>
      <c r="C237" s="748"/>
      <c r="D237" s="748"/>
      <c r="E237" s="748"/>
      <c r="F237" s="503"/>
      <c r="G237" s="503"/>
      <c r="H237" s="503"/>
      <c r="I237" s="503"/>
      <c r="J237" s="503"/>
      <c r="K237" s="503"/>
      <c r="L237" s="83">
        <f>'3) Parametros_modelo'!$C$179</f>
        <v>2</v>
      </c>
      <c r="M237" s="503"/>
      <c r="N237" s="721"/>
      <c r="O237" s="721"/>
      <c r="P237" s="83">
        <f>'3) Parametros_modelo'!$C$179</f>
        <v>2</v>
      </c>
      <c r="Q237" s="548" t="str">
        <f>Language!A655</f>
        <v>Por defecto = 14</v>
      </c>
      <c r="R237" s="772"/>
    </row>
    <row r="238" spans="1:20" x14ac:dyDescent="0.35">
      <c r="A238" s="299"/>
      <c r="B238" s="768" t="str">
        <f>Language!A650</f>
        <v>Toneladas anuales entrantes [ton/año]</v>
      </c>
      <c r="C238" s="748"/>
      <c r="D238" s="748"/>
      <c r="E238" s="748"/>
      <c r="F238" s="503"/>
      <c r="G238" s="503"/>
      <c r="H238" s="503"/>
      <c r="I238" s="503"/>
      <c r="J238" s="503"/>
      <c r="K238" s="503"/>
      <c r="L238" s="712">
        <f>IF(L9=Language!A406, I88*'3) Parametros_modelo'!$C$21*daysofgeneration*'3) Parametros_modelo'!$C$139*52/1000,0)</f>
        <v>0</v>
      </c>
      <c r="M238" s="503"/>
      <c r="N238" s="721"/>
      <c r="O238" s="721"/>
      <c r="P238" s="712">
        <f>IF(P9=Language!A406, M88*'3) Parametros_modelo'!$C$21*daysofgeneration*'3) Parametros_modelo'!$C$139*52/1000,0)</f>
        <v>0</v>
      </c>
      <c r="Q238" s="548"/>
    </row>
    <row r="239" spans="1:20" x14ac:dyDescent="0.35">
      <c r="A239" s="299"/>
      <c r="B239" s="768" t="str">
        <f>Language!A651</f>
        <v>Factor de perdida de masa por compostaje [%]</v>
      </c>
      <c r="C239" s="748"/>
      <c r="D239" s="748"/>
      <c r="E239" s="748"/>
      <c r="F239" s="503"/>
      <c r="G239" s="503"/>
      <c r="H239" s="503"/>
      <c r="I239" s="503"/>
      <c r="J239" s="503"/>
      <c r="K239" s="503"/>
      <c r="L239" s="13">
        <v>0.6</v>
      </c>
      <c r="M239" s="503"/>
      <c r="N239" s="721"/>
      <c r="O239" s="721"/>
      <c r="P239" s="13">
        <v>0.6</v>
      </c>
      <c r="Q239" s="548" t="str">
        <f>Language!A656</f>
        <v>Por defecto = 0.6</v>
      </c>
    </row>
    <row r="240" spans="1:20" x14ac:dyDescent="0.35">
      <c r="A240" s="299"/>
      <c r="B240" s="768" t="str">
        <f>Language!A652</f>
        <v>Toneladas de compost producidas [ton/año]</v>
      </c>
      <c r="C240" s="748"/>
      <c r="D240" s="748"/>
      <c r="E240" s="748"/>
      <c r="F240" s="503"/>
      <c r="G240" s="503"/>
      <c r="H240" s="503"/>
      <c r="I240" s="503"/>
      <c r="J240" s="503"/>
      <c r="K240" s="503"/>
      <c r="L240" s="747">
        <f>L238*L239</f>
        <v>0</v>
      </c>
      <c r="M240" s="503"/>
      <c r="N240" s="721"/>
      <c r="O240" s="721"/>
      <c r="P240" s="747">
        <f>P238*P239</f>
        <v>0</v>
      </c>
      <c r="Q240" s="548"/>
    </row>
    <row r="241" spans="1:20" ht="15" thickBot="1" x14ac:dyDescent="0.4">
      <c r="A241" s="299"/>
      <c r="B241" s="769" t="str">
        <f>Language!A653</f>
        <v>Costos anuales totales [$$$/año]</v>
      </c>
      <c r="C241" s="752"/>
      <c r="D241" s="752"/>
      <c r="E241" s="752"/>
      <c r="F241" s="760"/>
      <c r="G241" s="760"/>
      <c r="H241" s="760"/>
      <c r="I241" s="760"/>
      <c r="J241" s="760"/>
      <c r="K241" s="760"/>
      <c r="L241" s="760">
        <f>L238*L236-L240*L237</f>
        <v>0</v>
      </c>
      <c r="M241" s="760"/>
      <c r="N241" s="760"/>
      <c r="O241" s="760"/>
      <c r="P241" s="760">
        <f>P238*P236-P240*P237</f>
        <v>0</v>
      </c>
      <c r="Q241" s="734"/>
    </row>
    <row r="242" spans="1:20" ht="15" thickBot="1" x14ac:dyDescent="0.4">
      <c r="A242" s="299"/>
      <c r="B242" s="665"/>
      <c r="C242" s="665"/>
      <c r="D242" s="665"/>
      <c r="E242" s="665"/>
      <c r="F242" s="324"/>
      <c r="G242" s="324"/>
      <c r="H242" s="324"/>
      <c r="I242" s="324"/>
      <c r="J242" s="324"/>
      <c r="K242" s="324"/>
      <c r="L242" s="324"/>
      <c r="M242" s="324"/>
      <c r="N242" s="324"/>
      <c r="O242" s="324"/>
      <c r="P242" s="324"/>
    </row>
    <row r="243" spans="1:20" x14ac:dyDescent="0.35">
      <c r="A243" s="299"/>
      <c r="B243" s="767" t="str">
        <f>Language!A657</f>
        <v>Estimación de costos de reciclaje</v>
      </c>
      <c r="C243" s="744"/>
      <c r="D243" s="744"/>
      <c r="E243" s="744"/>
      <c r="F243" s="770"/>
      <c r="G243" s="770"/>
      <c r="H243" s="770"/>
      <c r="I243" s="770"/>
      <c r="J243" s="770"/>
      <c r="K243" s="770"/>
      <c r="L243" s="770"/>
      <c r="M243" s="770"/>
      <c r="N243" s="770"/>
      <c r="O243" s="770"/>
      <c r="P243" s="770"/>
      <c r="Q243" s="495"/>
    </row>
    <row r="244" spans="1:20" ht="34.5" customHeight="1" x14ac:dyDescent="0.35">
      <c r="A244" s="299"/>
      <c r="B244" s="768" t="str">
        <f>Language!A658</f>
        <v>Costos estimados de gestión de reciclables (operación, mantenimiento e inversión) por tonelada de residuos reciclables entrantes [$$$/ton]</v>
      </c>
      <c r="C244" s="771"/>
      <c r="D244" s="771"/>
      <c r="E244" s="771"/>
      <c r="F244" s="721"/>
      <c r="G244" s="721"/>
      <c r="H244" s="721"/>
      <c r="I244" s="721"/>
      <c r="J244" s="721"/>
      <c r="K244" s="83">
        <f>'3) Parametros_modelo'!$C$181</f>
        <v>20</v>
      </c>
      <c r="L244" s="721"/>
      <c r="M244" s="721"/>
      <c r="N244" s="721"/>
      <c r="O244" s="83">
        <f>'3) Parametros_modelo'!$C$181</f>
        <v>20</v>
      </c>
      <c r="P244" s="721"/>
      <c r="Q244" s="773" t="str">
        <f>Language!A665</f>
        <v>Por defecto = 140</v>
      </c>
      <c r="R244" s="350"/>
      <c r="T244" s="397" t="s">
        <v>173</v>
      </c>
    </row>
    <row r="245" spans="1:20" x14ac:dyDescent="0.35">
      <c r="A245" s="299"/>
      <c r="B245" s="768" t="str">
        <f>Language!A659</f>
        <v>Ingresos estimados por la venta del material clasificado [$$$/ton]</v>
      </c>
      <c r="C245" s="748"/>
      <c r="D245" s="748"/>
      <c r="E245" s="748"/>
      <c r="F245" s="721"/>
      <c r="G245" s="721"/>
      <c r="H245" s="721"/>
      <c r="I245" s="721"/>
      <c r="J245" s="721"/>
      <c r="K245" s="83">
        <f>'3) Parametros_modelo'!$C$182</f>
        <v>14</v>
      </c>
      <c r="L245" s="721"/>
      <c r="M245" s="721"/>
      <c r="N245" s="721"/>
      <c r="O245" s="83">
        <f>'3) Parametros_modelo'!$C$182</f>
        <v>14</v>
      </c>
      <c r="P245" s="721"/>
      <c r="Q245" s="548" t="s">
        <v>207</v>
      </c>
      <c r="R245" s="772"/>
    </row>
    <row r="246" spans="1:20" ht="13.9" customHeight="1" x14ac:dyDescent="0.35">
      <c r="A246" s="299"/>
      <c r="B246" s="768" t="str">
        <f>Language!A660</f>
        <v>Toneladas de material reciclable entrante anualmente [ton/año]</v>
      </c>
      <c r="C246" s="771"/>
      <c r="D246" s="771"/>
      <c r="E246" s="771"/>
      <c r="F246" s="721"/>
      <c r="G246" s="721"/>
      <c r="H246" s="721"/>
      <c r="I246" s="721"/>
      <c r="J246" s="721"/>
      <c r="K246" s="721">
        <f>IF(K9=Language!A406, I88*SUM('3) Parametros_modelo'!$C$22:$C$25)*daysofgeneration*'3) Parametros_modelo'!$C$138*52/1000,0)</f>
        <v>0</v>
      </c>
      <c r="L246" s="721"/>
      <c r="M246" s="721"/>
      <c r="N246" s="721"/>
      <c r="O246" s="721">
        <f>IF(O9=Language!A406, M88*SUM('3) Parametros_modelo'!$C$22:$C$25)*daysofgeneration*'3) Parametros_modelo'!$C$138*52/1000,0)</f>
        <v>0</v>
      </c>
      <c r="P246" s="721"/>
      <c r="Q246" s="548"/>
    </row>
    <row r="247" spans="1:20" ht="13.9" customHeight="1" x14ac:dyDescent="0.35">
      <c r="A247" s="299"/>
      <c r="B247" s="768" t="str">
        <f>Language!A661</f>
        <v>Eficiencia de planta [%]</v>
      </c>
      <c r="C247" s="771"/>
      <c r="D247" s="771"/>
      <c r="E247" s="771"/>
      <c r="F247" s="721"/>
      <c r="G247" s="721"/>
      <c r="H247" s="721"/>
      <c r="I247" s="721"/>
      <c r="J247" s="721"/>
      <c r="K247" s="719">
        <v>0.7</v>
      </c>
      <c r="L247" s="721"/>
      <c r="M247" s="721"/>
      <c r="N247" s="721"/>
      <c r="O247" s="719">
        <v>0.7</v>
      </c>
      <c r="P247" s="721"/>
      <c r="Q247" s="548"/>
      <c r="T247" s="301" t="s">
        <v>117</v>
      </c>
    </row>
    <row r="248" spans="1:20" x14ac:dyDescent="0.35">
      <c r="A248" s="299"/>
      <c r="B248" s="768" t="str">
        <f>Language!A662</f>
        <v>Toneladas de material reciclable que se puede vender anualmente [ton/año]</v>
      </c>
      <c r="C248" s="748"/>
      <c r="D248" s="748"/>
      <c r="E248" s="748"/>
      <c r="F248" s="721"/>
      <c r="G248" s="721"/>
      <c r="H248" s="721"/>
      <c r="I248" s="721"/>
      <c r="J248" s="721"/>
      <c r="K248" s="721">
        <f>K246*K247</f>
        <v>0</v>
      </c>
      <c r="L248" s="721"/>
      <c r="M248" s="721"/>
      <c r="N248" s="721"/>
      <c r="O248" s="721">
        <f>O246*O247</f>
        <v>0</v>
      </c>
      <c r="P248" s="721"/>
      <c r="Q248" s="548"/>
    </row>
    <row r="249" spans="1:20" x14ac:dyDescent="0.35">
      <c r="A249" s="299"/>
      <c r="B249" s="768" t="str">
        <f>Language!A663</f>
        <v>Toneladas de material que se deben llevar al sitio de disposición final [ton/año]</v>
      </c>
      <c r="C249" s="748"/>
      <c r="D249" s="748"/>
      <c r="E249" s="748"/>
      <c r="F249" s="721"/>
      <c r="G249" s="721"/>
      <c r="H249" s="721"/>
      <c r="I249" s="721"/>
      <c r="J249" s="721"/>
      <c r="K249" s="721">
        <f>K246-K248</f>
        <v>0</v>
      </c>
      <c r="L249" s="721"/>
      <c r="M249" s="721"/>
      <c r="N249" s="721"/>
      <c r="O249" s="721">
        <f>O246-O248</f>
        <v>0</v>
      </c>
      <c r="P249" s="721"/>
      <c r="Q249" s="548"/>
    </row>
    <row r="250" spans="1:20" ht="15" thickBot="1" x14ac:dyDescent="0.4">
      <c r="A250" s="299"/>
      <c r="B250" s="769" t="str">
        <f>Language!A664</f>
        <v>Costos anuales totales [$$$/año]</v>
      </c>
      <c r="C250" s="752"/>
      <c r="D250" s="752"/>
      <c r="E250" s="752"/>
      <c r="F250" s="760"/>
      <c r="G250" s="760"/>
      <c r="H250" s="760"/>
      <c r="I250" s="760"/>
      <c r="J250" s="760"/>
      <c r="K250" s="760">
        <f>K244*K246-K248*K245+K249*I231</f>
        <v>0</v>
      </c>
      <c r="L250" s="760"/>
      <c r="M250" s="760"/>
      <c r="N250" s="760"/>
      <c r="O250" s="760">
        <f>O244*O246-O248*O245+O249*M231</f>
        <v>0</v>
      </c>
      <c r="P250" s="760"/>
      <c r="Q250" s="734"/>
    </row>
    <row r="251" spans="1:20" ht="15" thickBot="1" x14ac:dyDescent="0.4">
      <c r="A251" s="299"/>
      <c r="B251" s="665"/>
      <c r="C251" s="665"/>
      <c r="D251" s="665"/>
      <c r="E251" s="665"/>
      <c r="F251" s="324"/>
      <c r="G251" s="324"/>
      <c r="H251" s="324"/>
      <c r="I251" s="324"/>
      <c r="J251" s="324"/>
      <c r="K251" s="324"/>
      <c r="L251" s="324"/>
      <c r="M251" s="324"/>
      <c r="N251" s="324"/>
      <c r="O251" s="324"/>
      <c r="P251" s="324"/>
    </row>
    <row r="252" spans="1:20" x14ac:dyDescent="0.35">
      <c r="A252" s="299"/>
      <c r="B252" s="767" t="str">
        <f>Language!A667</f>
        <v>Estimación de costos administrativos</v>
      </c>
      <c r="C252" s="744"/>
      <c r="D252" s="744"/>
      <c r="E252" s="744"/>
      <c r="F252" s="770"/>
      <c r="G252" s="770"/>
      <c r="H252" s="770"/>
      <c r="I252" s="770"/>
      <c r="J252" s="770"/>
      <c r="K252" s="770"/>
      <c r="L252" s="770"/>
      <c r="M252" s="770"/>
      <c r="N252" s="770"/>
      <c r="O252" s="770"/>
      <c r="P252" s="770"/>
      <c r="Q252" s="495"/>
    </row>
    <row r="253" spans="1:20" ht="18.649999999999999" customHeight="1" thickBot="1" x14ac:dyDescent="0.4">
      <c r="A253" s="299"/>
      <c r="B253" s="672" t="str">
        <f>Language!A668</f>
        <v>Porcentaje del total de costos anuales [%]</v>
      </c>
      <c r="C253" s="20">
        <f>'3) Parametros_modelo'!$C$188</f>
        <v>0.1</v>
      </c>
      <c r="D253" s="20">
        <f>'3) Parametros_modelo'!$C$188</f>
        <v>0.1</v>
      </c>
      <c r="E253" s="20">
        <f>'3) Parametros_modelo'!$C$188</f>
        <v>0.1</v>
      </c>
      <c r="F253" s="20">
        <f>'3) Parametros_modelo'!$C$188</f>
        <v>0.1</v>
      </c>
      <c r="G253" s="20">
        <f>'3) Parametros_modelo'!$C$188</f>
        <v>0.1</v>
      </c>
      <c r="H253" s="20">
        <f>'3) Parametros_modelo'!$C$188</f>
        <v>0.1</v>
      </c>
      <c r="I253" s="1068">
        <f>'3) Parametros_modelo'!$C$188</f>
        <v>0.1</v>
      </c>
      <c r="J253" s="1068"/>
      <c r="K253" s="1068"/>
      <c r="L253" s="1068"/>
      <c r="M253" s="1068">
        <f>'3) Parametros_modelo'!$C$188</f>
        <v>0.1</v>
      </c>
      <c r="N253" s="1068"/>
      <c r="O253" s="1068"/>
      <c r="P253" s="1068"/>
      <c r="Q253" s="774" t="str">
        <f>Language!A673</f>
        <v>Por defecto = 10%</v>
      </c>
      <c r="R253" s="534"/>
      <c r="S253" s="397"/>
      <c r="T253" s="397" t="s">
        <v>122</v>
      </c>
    </row>
    <row r="254" spans="1:20" ht="15" thickBot="1" x14ac:dyDescent="0.4">
      <c r="A254" s="299"/>
      <c r="B254" s="739"/>
      <c r="C254" s="739"/>
      <c r="D254" s="739"/>
      <c r="E254" s="739"/>
      <c r="F254" s="84"/>
      <c r="G254" s="84"/>
      <c r="H254" s="84"/>
      <c r="I254" s="84"/>
      <c r="J254" s="84"/>
      <c r="K254" s="84"/>
      <c r="L254" s="84"/>
      <c r="M254" s="85"/>
      <c r="N254" s="85"/>
      <c r="O254" s="85"/>
      <c r="P254" s="85"/>
      <c r="Q254" s="534"/>
      <c r="R254" s="534"/>
      <c r="S254" s="397"/>
      <c r="T254" s="397"/>
    </row>
    <row r="255" spans="1:20" x14ac:dyDescent="0.35">
      <c r="A255" s="299"/>
      <c r="B255" s="767" t="str">
        <f>Language!A669</f>
        <v>Estimación de costos de planificación y fiscalización</v>
      </c>
      <c r="C255" s="744"/>
      <c r="D255" s="744"/>
      <c r="E255" s="744"/>
      <c r="F255" s="770"/>
      <c r="G255" s="770"/>
      <c r="H255" s="770"/>
      <c r="I255" s="770"/>
      <c r="J255" s="770"/>
      <c r="K255" s="770"/>
      <c r="L255" s="770"/>
      <c r="M255" s="770"/>
      <c r="N255" s="770"/>
      <c r="O255" s="770"/>
      <c r="P255" s="770"/>
      <c r="Q255" s="495"/>
      <c r="R255" s="534"/>
      <c r="S255" s="397"/>
      <c r="T255" s="397"/>
    </row>
    <row r="256" spans="1:20" ht="15" thickBot="1" x14ac:dyDescent="0.4">
      <c r="A256" s="299"/>
      <c r="B256" s="672" t="str">
        <f>Language!A670</f>
        <v>Porcentaje del total de costos anuales [%]</v>
      </c>
      <c r="C256" s="20">
        <f>'3) Parametros_modelo'!$C$190</f>
        <v>0.02</v>
      </c>
      <c r="D256" s="20">
        <f>'3) Parametros_modelo'!$C$190</f>
        <v>0.02</v>
      </c>
      <c r="E256" s="20">
        <f>'3) Parametros_modelo'!$C$190</f>
        <v>0.02</v>
      </c>
      <c r="F256" s="20">
        <f>'3) Parametros_modelo'!$C$190</f>
        <v>0.02</v>
      </c>
      <c r="G256" s="20">
        <f>'3) Parametros_modelo'!$C$190</f>
        <v>0.02</v>
      </c>
      <c r="H256" s="20">
        <f>'3) Parametros_modelo'!$C$190</f>
        <v>0.02</v>
      </c>
      <c r="I256" s="1068">
        <f>'3) Parametros_modelo'!$C$190</f>
        <v>0.02</v>
      </c>
      <c r="J256" s="1068"/>
      <c r="K256" s="1068"/>
      <c r="L256" s="1068"/>
      <c r="M256" s="1068">
        <f>'3) Parametros_modelo'!$C$190</f>
        <v>0.02</v>
      </c>
      <c r="N256" s="1068"/>
      <c r="O256" s="1068"/>
      <c r="P256" s="1068"/>
      <c r="Q256" s="774" t="str">
        <f>Language!A674</f>
        <v>Por defecto = 2%</v>
      </c>
      <c r="R256" s="534"/>
      <c r="S256" s="397"/>
      <c r="T256" s="397"/>
    </row>
    <row r="257" spans="1:20" ht="15" thickBot="1" x14ac:dyDescent="0.4">
      <c r="A257" s="299"/>
      <c r="B257" s="739"/>
      <c r="C257" s="739"/>
      <c r="D257" s="739"/>
      <c r="E257" s="739"/>
      <c r="F257" s="84"/>
      <c r="G257" s="84"/>
      <c r="H257" s="84"/>
      <c r="I257" s="84"/>
      <c r="J257" s="84"/>
      <c r="K257" s="84"/>
      <c r="L257" s="84"/>
      <c r="M257" s="85"/>
      <c r="N257" s="85"/>
      <c r="O257" s="85"/>
      <c r="P257" s="85"/>
      <c r="Q257" s="534"/>
      <c r="R257" s="534"/>
      <c r="S257" s="397"/>
      <c r="T257" s="397"/>
    </row>
    <row r="258" spans="1:20" x14ac:dyDescent="0.35">
      <c r="A258" s="299"/>
      <c r="B258" s="767" t="str">
        <f>Language!A671</f>
        <v>Estimación de costos blandos (formación, educación, comunicación)</v>
      </c>
      <c r="C258" s="744"/>
      <c r="D258" s="744"/>
      <c r="E258" s="744"/>
      <c r="F258" s="770"/>
      <c r="G258" s="770"/>
      <c r="H258" s="770"/>
      <c r="I258" s="770"/>
      <c r="J258" s="770"/>
      <c r="K258" s="770"/>
      <c r="L258" s="770"/>
      <c r="M258" s="770"/>
      <c r="N258" s="770"/>
      <c r="O258" s="770"/>
      <c r="P258" s="770"/>
      <c r="Q258" s="495"/>
      <c r="S258" s="397"/>
      <c r="T258" s="397"/>
    </row>
    <row r="259" spans="1:20" ht="15" thickBot="1" x14ac:dyDescent="0.4">
      <c r="A259" s="299"/>
      <c r="B259" s="672" t="str">
        <f>Language!A672</f>
        <v>Porcentaje del total de costos anuales [%]</v>
      </c>
      <c r="C259" s="20">
        <f>'3) Parametros_modelo'!$C$192</f>
        <v>0.05</v>
      </c>
      <c r="D259" s="20">
        <f>'3) Parametros_modelo'!$C$192</f>
        <v>0.05</v>
      </c>
      <c r="E259" s="20">
        <f>'3) Parametros_modelo'!$C$192</f>
        <v>0.05</v>
      </c>
      <c r="F259" s="20">
        <f>'3) Parametros_modelo'!$C$192</f>
        <v>0.05</v>
      </c>
      <c r="G259" s="20">
        <f>'3) Parametros_modelo'!$C$192</f>
        <v>0.05</v>
      </c>
      <c r="H259" s="20">
        <f>'3) Parametros_modelo'!$C$192</f>
        <v>0.05</v>
      </c>
      <c r="I259" s="1068">
        <f>'3) Parametros_modelo'!$C$192</f>
        <v>0.05</v>
      </c>
      <c r="J259" s="1068"/>
      <c r="K259" s="1068"/>
      <c r="L259" s="1068"/>
      <c r="M259" s="1068">
        <f>'3) Parametros_modelo'!$C$192</f>
        <v>0.05</v>
      </c>
      <c r="N259" s="1068"/>
      <c r="O259" s="1068"/>
      <c r="P259" s="1068"/>
      <c r="Q259" s="774" t="str">
        <f>Language!A675</f>
        <v>Por defecto = 5%</v>
      </c>
      <c r="R259" s="534"/>
      <c r="S259" s="397"/>
      <c r="T259" s="397"/>
    </row>
    <row r="260" spans="1:20" ht="15" thickBot="1" x14ac:dyDescent="0.4">
      <c r="A260" s="299"/>
      <c r="B260" s="739"/>
      <c r="C260" s="739"/>
      <c r="D260" s="739"/>
      <c r="E260" s="739"/>
      <c r="F260" s="84"/>
      <c r="G260" s="84"/>
      <c r="H260" s="84"/>
      <c r="I260" s="84"/>
      <c r="J260" s="84"/>
      <c r="K260" s="84"/>
      <c r="L260" s="84"/>
      <c r="M260" s="85"/>
      <c r="N260" s="85"/>
      <c r="O260" s="85"/>
      <c r="P260" s="85"/>
      <c r="Q260" s="534"/>
      <c r="R260" s="534"/>
      <c r="S260" s="397"/>
      <c r="T260" s="397"/>
    </row>
    <row r="261" spans="1:20" x14ac:dyDescent="0.35">
      <c r="A261" s="299"/>
      <c r="B261" s="767" t="str">
        <f>Language!A676</f>
        <v>Estimación de costos de barrido/limpieza urbana</v>
      </c>
      <c r="C261" s="744"/>
      <c r="D261" s="744"/>
      <c r="E261" s="744"/>
      <c r="F261" s="770"/>
      <c r="G261" s="770"/>
      <c r="H261" s="770"/>
      <c r="I261" s="770"/>
      <c r="J261" s="770"/>
      <c r="K261" s="770"/>
      <c r="L261" s="770"/>
      <c r="M261" s="770"/>
      <c r="N261" s="770"/>
      <c r="O261" s="770"/>
      <c r="P261" s="770"/>
      <c r="Q261" s="495"/>
      <c r="S261" s="397"/>
      <c r="T261" s="397"/>
    </row>
    <row r="262" spans="1:20" x14ac:dyDescent="0.35">
      <c r="A262" s="299"/>
      <c r="B262" s="775" t="str">
        <f>Language!A677</f>
        <v>Limpieza manual de vías</v>
      </c>
      <c r="C262" s="776"/>
      <c r="D262" s="776"/>
      <c r="E262" s="776"/>
      <c r="F262" s="777"/>
      <c r="G262" s="777"/>
      <c r="H262" s="777"/>
      <c r="I262" s="777"/>
      <c r="J262" s="777"/>
      <c r="K262" s="777"/>
      <c r="L262" s="777"/>
      <c r="M262" s="777"/>
      <c r="N262" s="777"/>
      <c r="O262" s="777"/>
      <c r="P262" s="777"/>
      <c r="Q262" s="727"/>
      <c r="S262" s="397"/>
      <c r="T262" s="397"/>
    </row>
    <row r="263" spans="1:20" x14ac:dyDescent="0.35">
      <c r="A263" s="299"/>
      <c r="B263" s="498" t="str">
        <f>Language!A678</f>
        <v>Longitud de carretera limpiada por semana [km/semana]</v>
      </c>
      <c r="C263" s="87">
        <f>'3) Parametros_modelo'!$C$144*'3) Parametros_modelo'!$C$143</f>
        <v>0</v>
      </c>
      <c r="D263" s="87">
        <f>'3) Parametros_modelo'!$C$144*'3) Parametros_modelo'!$C$143</f>
        <v>0</v>
      </c>
      <c r="E263" s="87">
        <f>'3) Parametros_modelo'!$C$144*'3) Parametros_modelo'!$C$143</f>
        <v>0</v>
      </c>
      <c r="F263" s="87">
        <f>'3) Parametros_modelo'!$C$144*'3) Parametros_modelo'!$C$143</f>
        <v>0</v>
      </c>
      <c r="G263" s="87">
        <f>'3) Parametros_modelo'!$C$144*'3) Parametros_modelo'!$C$143</f>
        <v>0</v>
      </c>
      <c r="H263" s="87">
        <f>'3) Parametros_modelo'!$C$144*'3) Parametros_modelo'!$C$143</f>
        <v>0</v>
      </c>
      <c r="I263" s="87">
        <f>'3) Parametros_modelo'!$C$144*'3) Parametros_modelo'!$C$143</f>
        <v>0</v>
      </c>
      <c r="J263" s="87"/>
      <c r="K263" s="87"/>
      <c r="L263" s="87"/>
      <c r="M263" s="87">
        <f>'3) Parametros_modelo'!$C$144*'3) Parametros_modelo'!$C$143</f>
        <v>0</v>
      </c>
      <c r="N263" s="87"/>
      <c r="O263" s="87"/>
      <c r="P263" s="87"/>
      <c r="Q263" s="773"/>
      <c r="R263" s="534"/>
      <c r="S263" s="397"/>
      <c r="T263" s="397"/>
    </row>
    <row r="264" spans="1:20" x14ac:dyDescent="0.35">
      <c r="A264" s="299"/>
      <c r="B264" s="757" t="str">
        <f>Language!A679</f>
        <v>Longitud de carretera a limpiar por año [km/año]</v>
      </c>
      <c r="C264" s="87">
        <f>C263*52</f>
        <v>0</v>
      </c>
      <c r="D264" s="87">
        <f t="shared" ref="D264:H264" si="109">D263*52</f>
        <v>0</v>
      </c>
      <c r="E264" s="87">
        <f t="shared" si="109"/>
        <v>0</v>
      </c>
      <c r="F264" s="87">
        <f t="shared" si="109"/>
        <v>0</v>
      </c>
      <c r="G264" s="87">
        <f t="shared" si="109"/>
        <v>0</v>
      </c>
      <c r="H264" s="87">
        <f t="shared" si="109"/>
        <v>0</v>
      </c>
      <c r="I264" s="87">
        <f>I263*52</f>
        <v>0</v>
      </c>
      <c r="J264" s="87"/>
      <c r="K264" s="87"/>
      <c r="L264" s="87"/>
      <c r="M264" s="87">
        <f>M263*52</f>
        <v>0</v>
      </c>
      <c r="N264" s="87"/>
      <c r="O264" s="87"/>
      <c r="P264" s="87"/>
      <c r="Q264" s="773"/>
      <c r="R264" s="534"/>
      <c r="S264" s="397"/>
      <c r="T264" s="397"/>
    </row>
    <row r="265" spans="1:20" x14ac:dyDescent="0.35">
      <c r="A265" s="299"/>
      <c r="B265" s="757" t="str">
        <f>Language!A680</f>
        <v>Capacidad de limpieza por empleada/o por año [km/año]</v>
      </c>
      <c r="C265" s="87">
        <f>daysofwork*52*'3) Parametros_modelo'!$C$146</f>
        <v>0</v>
      </c>
      <c r="D265" s="87">
        <f>daysofwork*52*'3) Parametros_modelo'!$C$146</f>
        <v>0</v>
      </c>
      <c r="E265" s="87">
        <f>daysofwork*52*'3) Parametros_modelo'!$C$146</f>
        <v>0</v>
      </c>
      <c r="F265" s="87">
        <f>daysofwork*52*'3) Parametros_modelo'!$C$146</f>
        <v>0</v>
      </c>
      <c r="G265" s="87">
        <f>daysofwork*52*'3) Parametros_modelo'!$C$146</f>
        <v>0</v>
      </c>
      <c r="H265" s="87">
        <f>daysofwork*52*'3) Parametros_modelo'!$C$146</f>
        <v>0</v>
      </c>
      <c r="I265" s="87">
        <f>daysofwork*52*'3) Parametros_modelo'!$C$146</f>
        <v>0</v>
      </c>
      <c r="J265" s="87"/>
      <c r="K265" s="87"/>
      <c r="L265" s="87"/>
      <c r="M265" s="87">
        <f>daysofwork*52*'3) Parametros_modelo'!$C$146</f>
        <v>0</v>
      </c>
      <c r="N265" s="87"/>
      <c r="O265" s="87"/>
      <c r="P265" s="87"/>
      <c r="Q265" s="773"/>
      <c r="R265" s="534"/>
      <c r="S265" s="397"/>
      <c r="T265" s="397"/>
    </row>
    <row r="266" spans="1:20" x14ac:dyDescent="0.35">
      <c r="A266" s="299"/>
      <c r="B266" s="757" t="str">
        <f>Language!A681</f>
        <v>Cantidad de empleadas/os necesarios</v>
      </c>
      <c r="C266" s="87">
        <f>IFERROR(ROUNDUP(C264/C265,0),0)</f>
        <v>0</v>
      </c>
      <c r="D266" s="87">
        <f t="shared" ref="D266:I266" si="110">IFERROR(ROUNDUP(D264/D265,0),0)</f>
        <v>0</v>
      </c>
      <c r="E266" s="87">
        <f t="shared" si="110"/>
        <v>0</v>
      </c>
      <c r="F266" s="87">
        <f t="shared" si="110"/>
        <v>0</v>
      </c>
      <c r="G266" s="87">
        <f t="shared" si="110"/>
        <v>0</v>
      </c>
      <c r="H266" s="87">
        <f t="shared" si="110"/>
        <v>0</v>
      </c>
      <c r="I266" s="87">
        <f t="shared" si="110"/>
        <v>0</v>
      </c>
      <c r="J266" s="87"/>
      <c r="K266" s="87"/>
      <c r="L266" s="87"/>
      <c r="M266" s="87">
        <f t="shared" ref="M266" si="111">IFERROR(ROUNDUP(M264/M265,0),0)</f>
        <v>0</v>
      </c>
      <c r="N266" s="87"/>
      <c r="O266" s="87"/>
      <c r="P266" s="87"/>
      <c r="Q266" s="773"/>
      <c r="R266" s="534"/>
      <c r="S266" s="397"/>
      <c r="T266" s="397"/>
    </row>
    <row r="267" spans="1:20" x14ac:dyDescent="0.35">
      <c r="A267" s="299"/>
      <c r="B267" s="757" t="str">
        <f>Language!A682</f>
        <v>Costos anuales personal [$$$/año]</v>
      </c>
      <c r="C267" s="88">
        <f>C266*('3) Parametros_modelo'!$C$173+'3) Parametros_modelo'!$C$174)</f>
        <v>0</v>
      </c>
      <c r="D267" s="88">
        <f>D266*('3) Parametros_modelo'!$C$173+'3) Parametros_modelo'!$C$174)</f>
        <v>0</v>
      </c>
      <c r="E267" s="88">
        <f>E266*('3) Parametros_modelo'!$C$173+'3) Parametros_modelo'!$C$174)</f>
        <v>0</v>
      </c>
      <c r="F267" s="88">
        <f>F266*('3) Parametros_modelo'!$C$173+'3) Parametros_modelo'!$C$174)</f>
        <v>0</v>
      </c>
      <c r="G267" s="88">
        <f>G266*('3) Parametros_modelo'!$C$173+'3) Parametros_modelo'!$C$174)</f>
        <v>0</v>
      </c>
      <c r="H267" s="88">
        <f>H266*('3) Parametros_modelo'!$C$173+'3) Parametros_modelo'!$C$174)</f>
        <v>0</v>
      </c>
      <c r="I267" s="88">
        <f>I266*('3) Parametros_modelo'!$C$173+'3) Parametros_modelo'!$C$174)</f>
        <v>0</v>
      </c>
      <c r="J267" s="88"/>
      <c r="K267" s="88"/>
      <c r="L267" s="88"/>
      <c r="M267" s="88">
        <f>M266*('3) Parametros_modelo'!$C$173+'3) Parametros_modelo'!$C$174)</f>
        <v>0</v>
      </c>
      <c r="N267" s="88"/>
      <c r="O267" s="88"/>
      <c r="P267" s="88"/>
      <c r="Q267" s="773"/>
      <c r="R267" s="534"/>
      <c r="S267" s="397"/>
      <c r="T267" s="397"/>
    </row>
    <row r="268" spans="1:20" x14ac:dyDescent="0.35">
      <c r="A268" s="299"/>
      <c r="B268" s="757" t="str">
        <f>Language!A683</f>
        <v>Costos anuales materiales [$$$/año]</v>
      </c>
      <c r="C268" s="87">
        <f>C264*'3) Parametros_modelo'!$C$167</f>
        <v>0</v>
      </c>
      <c r="D268" s="87">
        <f>D264*'3) Parametros_modelo'!$C$167</f>
        <v>0</v>
      </c>
      <c r="E268" s="87">
        <f>E264*'3) Parametros_modelo'!$C$167</f>
        <v>0</v>
      </c>
      <c r="F268" s="87">
        <f>F264*'3) Parametros_modelo'!$C$167</f>
        <v>0</v>
      </c>
      <c r="G268" s="87">
        <f>G264*'3) Parametros_modelo'!$C$167</f>
        <v>0</v>
      </c>
      <c r="H268" s="87">
        <f>H264*'3) Parametros_modelo'!$C$167</f>
        <v>0</v>
      </c>
      <c r="I268" s="87">
        <f>I264*'3) Parametros_modelo'!$C$167</f>
        <v>0</v>
      </c>
      <c r="J268" s="87"/>
      <c r="K268" s="87"/>
      <c r="L268" s="87"/>
      <c r="M268" s="87">
        <f>M264*'3) Parametros_modelo'!$C$167</f>
        <v>0</v>
      </c>
      <c r="N268" s="87"/>
      <c r="O268" s="87"/>
      <c r="P268" s="87"/>
      <c r="Q268" s="773"/>
      <c r="R268" s="534"/>
      <c r="S268" s="397"/>
      <c r="T268" s="397"/>
    </row>
    <row r="269" spans="1:20" x14ac:dyDescent="0.35">
      <c r="A269" s="299"/>
      <c r="B269" s="775" t="str">
        <f>Language!A684</f>
        <v>Limpieza mecanizada de vías</v>
      </c>
      <c r="C269" s="776"/>
      <c r="D269" s="776"/>
      <c r="E269" s="776"/>
      <c r="F269" s="777"/>
      <c r="G269" s="777"/>
      <c r="H269" s="777"/>
      <c r="I269" s="777"/>
      <c r="J269" s="777"/>
      <c r="K269" s="777"/>
      <c r="L269" s="777"/>
      <c r="M269" s="777"/>
      <c r="N269" s="777"/>
      <c r="O269" s="777"/>
      <c r="P269" s="777"/>
      <c r="Q269" s="727"/>
      <c r="R269" s="534"/>
      <c r="S269" s="397"/>
      <c r="T269" s="397"/>
    </row>
    <row r="270" spans="1:20" x14ac:dyDescent="0.35">
      <c r="A270" s="299"/>
      <c r="B270" s="757" t="str">
        <f>Language!A685</f>
        <v>Longitud de carretera limpiada por semana [km/semana]</v>
      </c>
      <c r="C270" s="87">
        <f>'3) Parametros_modelo'!$C$149*'3) Parametros_modelo'!$C$150</f>
        <v>0</v>
      </c>
      <c r="D270" s="87">
        <f>'3) Parametros_modelo'!$C$149*'3) Parametros_modelo'!$C$150</f>
        <v>0</v>
      </c>
      <c r="E270" s="87">
        <f>'3) Parametros_modelo'!$C$149*'3) Parametros_modelo'!$C$150</f>
        <v>0</v>
      </c>
      <c r="F270" s="87">
        <f>'3) Parametros_modelo'!$C$149*'3) Parametros_modelo'!$C$150</f>
        <v>0</v>
      </c>
      <c r="G270" s="87">
        <f>'3) Parametros_modelo'!$C$149*'3) Parametros_modelo'!$C$150</f>
        <v>0</v>
      </c>
      <c r="H270" s="87">
        <f>'3) Parametros_modelo'!$C$149*'3) Parametros_modelo'!$C$150</f>
        <v>0</v>
      </c>
      <c r="I270" s="87">
        <f>'3) Parametros_modelo'!$C$149*'3) Parametros_modelo'!$C$150</f>
        <v>0</v>
      </c>
      <c r="J270" s="87"/>
      <c r="K270" s="87"/>
      <c r="L270" s="87"/>
      <c r="M270" s="87">
        <f>'3) Parametros_modelo'!$C$149*'3) Parametros_modelo'!$C$150</f>
        <v>0</v>
      </c>
      <c r="N270" s="87"/>
      <c r="O270" s="87"/>
      <c r="P270" s="87"/>
      <c r="Q270" s="773"/>
      <c r="R270" s="534"/>
      <c r="S270" s="397"/>
      <c r="T270" s="397"/>
    </row>
    <row r="271" spans="1:20" x14ac:dyDescent="0.35">
      <c r="A271" s="299"/>
      <c r="B271" s="757" t="str">
        <f>Language!A686</f>
        <v>Longitud de carretera a limpiar por año [km/año]</v>
      </c>
      <c r="C271" s="87">
        <f>C270*52</f>
        <v>0</v>
      </c>
      <c r="D271" s="87">
        <f t="shared" ref="D271:I271" si="112">D270*52</f>
        <v>0</v>
      </c>
      <c r="E271" s="87">
        <f t="shared" si="112"/>
        <v>0</v>
      </c>
      <c r="F271" s="87">
        <f t="shared" si="112"/>
        <v>0</v>
      </c>
      <c r="G271" s="87">
        <f t="shared" si="112"/>
        <v>0</v>
      </c>
      <c r="H271" s="87">
        <f t="shared" si="112"/>
        <v>0</v>
      </c>
      <c r="I271" s="87">
        <f t="shared" si="112"/>
        <v>0</v>
      </c>
      <c r="J271" s="87"/>
      <c r="K271" s="87"/>
      <c r="L271" s="87"/>
      <c r="M271" s="87">
        <f t="shared" ref="M271" si="113">M270*52</f>
        <v>0</v>
      </c>
      <c r="N271" s="87"/>
      <c r="O271" s="87"/>
      <c r="P271" s="87"/>
      <c r="Q271" s="773"/>
      <c r="R271" s="534"/>
      <c r="S271" s="397"/>
      <c r="T271" s="397"/>
    </row>
    <row r="272" spans="1:20" x14ac:dyDescent="0.35">
      <c r="A272" s="299"/>
      <c r="B272" s="757" t="str">
        <f>Language!A687</f>
        <v>Capacidad de limpieza por empleada/o por año[km/año]</v>
      </c>
      <c r="C272" s="87">
        <f>daysofwork*52*'3) Parametros_modelo'!$C$153</f>
        <v>0</v>
      </c>
      <c r="D272" s="87">
        <f>daysofwork*52*'3) Parametros_modelo'!$C$153</f>
        <v>0</v>
      </c>
      <c r="E272" s="87">
        <f>daysofwork*52*'3) Parametros_modelo'!$C$153</f>
        <v>0</v>
      </c>
      <c r="F272" s="87">
        <f>daysofwork*52*'3) Parametros_modelo'!$C$153</f>
        <v>0</v>
      </c>
      <c r="G272" s="87">
        <f>daysofwork*52*'3) Parametros_modelo'!$C$153</f>
        <v>0</v>
      </c>
      <c r="H272" s="87">
        <f>daysofwork*52*'3) Parametros_modelo'!$C$153</f>
        <v>0</v>
      </c>
      <c r="I272" s="87">
        <f>daysofwork*52*'3) Parametros_modelo'!$C$153</f>
        <v>0</v>
      </c>
      <c r="J272" s="87"/>
      <c r="K272" s="87"/>
      <c r="L272" s="87"/>
      <c r="M272" s="87">
        <f>daysofwork*52*'3) Parametros_modelo'!$C$153</f>
        <v>0</v>
      </c>
      <c r="N272" s="87"/>
      <c r="O272" s="87"/>
      <c r="P272" s="87"/>
      <c r="Q272" s="773"/>
      <c r="R272" s="534"/>
      <c r="S272" s="397"/>
      <c r="T272" s="397"/>
    </row>
    <row r="273" spans="1:20" x14ac:dyDescent="0.35">
      <c r="A273" s="299"/>
      <c r="B273" s="757" t="str">
        <f>Language!A688</f>
        <v>Cantidad de empleadas/os necesarios (y de vehículos)</v>
      </c>
      <c r="C273" s="87">
        <f>IFERROR(ROUNDUP(C271/C272,0),0)</f>
        <v>0</v>
      </c>
      <c r="D273" s="87">
        <f t="shared" ref="D273:I273" si="114">IFERROR(ROUNDUP(D271/D272,0),0)</f>
        <v>0</v>
      </c>
      <c r="E273" s="87">
        <f t="shared" si="114"/>
        <v>0</v>
      </c>
      <c r="F273" s="87">
        <f t="shared" si="114"/>
        <v>0</v>
      </c>
      <c r="G273" s="87">
        <f t="shared" si="114"/>
        <v>0</v>
      </c>
      <c r="H273" s="87">
        <f t="shared" si="114"/>
        <v>0</v>
      </c>
      <c r="I273" s="87">
        <f t="shared" si="114"/>
        <v>0</v>
      </c>
      <c r="J273" s="87"/>
      <c r="K273" s="87"/>
      <c r="L273" s="87"/>
      <c r="M273" s="87">
        <f t="shared" ref="M273" si="115">IFERROR(ROUNDUP(M271/M272,0),0)</f>
        <v>0</v>
      </c>
      <c r="N273" s="87"/>
      <c r="O273" s="87"/>
      <c r="P273" s="87"/>
      <c r="Q273" s="773"/>
      <c r="R273" s="534"/>
      <c r="S273" s="397"/>
      <c r="T273" s="397"/>
    </row>
    <row r="274" spans="1:20" x14ac:dyDescent="0.35">
      <c r="A274" s="299"/>
      <c r="B274" s="757" t="str">
        <f>Language!A689</f>
        <v>Costos anuales personal [$$$/año]</v>
      </c>
      <c r="C274" s="88">
        <f>C273*('3) Parametros_modelo'!$C$173+'3) Parametros_modelo'!$C$174)</f>
        <v>0</v>
      </c>
      <c r="D274" s="88">
        <f>D273*('3) Parametros_modelo'!$C$173+'3) Parametros_modelo'!$C$174)</f>
        <v>0</v>
      </c>
      <c r="E274" s="88">
        <f>E273*('3) Parametros_modelo'!$C$173+'3) Parametros_modelo'!$C$174)</f>
        <v>0</v>
      </c>
      <c r="F274" s="88">
        <f>F273*('3) Parametros_modelo'!$C$173+'3) Parametros_modelo'!$C$174)</f>
        <v>0</v>
      </c>
      <c r="G274" s="88">
        <f>G273*('3) Parametros_modelo'!$C$173+'3) Parametros_modelo'!$C$174)</f>
        <v>0</v>
      </c>
      <c r="H274" s="88">
        <f>H273*('3) Parametros_modelo'!$C$173+'3) Parametros_modelo'!$C$174)</f>
        <v>0</v>
      </c>
      <c r="I274" s="88">
        <f>I273*('3) Parametros_modelo'!$C$173+'3) Parametros_modelo'!$C$174)</f>
        <v>0</v>
      </c>
      <c r="J274" s="87"/>
      <c r="K274" s="87"/>
      <c r="L274" s="87"/>
      <c r="M274" s="88">
        <f>M273*('3) Parametros_modelo'!$C$173+'3) Parametros_modelo'!$C$174)</f>
        <v>0</v>
      </c>
      <c r="N274" s="87"/>
      <c r="O274" s="87"/>
      <c r="P274" s="87"/>
      <c r="Q274" s="773"/>
      <c r="R274" s="534"/>
      <c r="S274" s="397"/>
      <c r="T274" s="397"/>
    </row>
    <row r="275" spans="1:20" x14ac:dyDescent="0.35">
      <c r="A275" s="299"/>
      <c r="B275" s="757" t="str">
        <f>Language!A690</f>
        <v>Costos anuales materiales [$$$/año]</v>
      </c>
      <c r="C275" s="88">
        <f>C271*'3) Parametros_modelo'!$C$168</f>
        <v>0</v>
      </c>
      <c r="D275" s="88">
        <f>D271*'3) Parametros_modelo'!$C$168</f>
        <v>0</v>
      </c>
      <c r="E275" s="88">
        <f>E271*'3) Parametros_modelo'!$C$168</f>
        <v>0</v>
      </c>
      <c r="F275" s="88">
        <f>F271*'3) Parametros_modelo'!$C$168</f>
        <v>0</v>
      </c>
      <c r="G275" s="88">
        <f>G271*'3) Parametros_modelo'!$C$168</f>
        <v>0</v>
      </c>
      <c r="H275" s="88">
        <f>H271*'3) Parametros_modelo'!$C$168</f>
        <v>0</v>
      </c>
      <c r="I275" s="88">
        <f>I271*'3) Parametros_modelo'!$C$168</f>
        <v>0</v>
      </c>
      <c r="J275" s="87"/>
      <c r="K275" s="87"/>
      <c r="L275" s="87"/>
      <c r="M275" s="88">
        <f>M271*'3) Parametros_modelo'!$C$168</f>
        <v>0</v>
      </c>
      <c r="N275" s="87"/>
      <c r="O275" s="87"/>
      <c r="P275" s="87"/>
      <c r="Q275" s="773"/>
      <c r="R275" s="534"/>
      <c r="S275" s="397"/>
      <c r="T275" s="397"/>
    </row>
    <row r="276" spans="1:20" x14ac:dyDescent="0.35">
      <c r="A276" s="299"/>
      <c r="B276" s="757" t="str">
        <f>Language!A691</f>
        <v>Costos anuales de compra de vehículos [$$$/año]</v>
      </c>
      <c r="C276" s="88">
        <f>IFERROR(C273*'3) Parametros_modelo'!$C$151/'3) Parametros_modelo'!$C$152,0)</f>
        <v>0</v>
      </c>
      <c r="D276" s="88">
        <f>IFERROR(D273*'3) Parametros_modelo'!$C$151/'3) Parametros_modelo'!$C$152,0)</f>
        <v>0</v>
      </c>
      <c r="E276" s="88">
        <f>IFERROR(E273*'3) Parametros_modelo'!$C$151/'3) Parametros_modelo'!$C$152,0)</f>
        <v>0</v>
      </c>
      <c r="F276" s="88">
        <f>IFERROR(F273*'3) Parametros_modelo'!$C$151/'3) Parametros_modelo'!$C$152,0)</f>
        <v>0</v>
      </c>
      <c r="G276" s="88">
        <f>IFERROR(G273*'3) Parametros_modelo'!$C$151/'3) Parametros_modelo'!$C$152,0)</f>
        <v>0</v>
      </c>
      <c r="H276" s="88">
        <f>IFERROR(H273*'3) Parametros_modelo'!$C$151/'3) Parametros_modelo'!$C$152,0)</f>
        <v>0</v>
      </c>
      <c r="I276" s="88">
        <f>IFERROR(I273*'3) Parametros_modelo'!$C$151/'3) Parametros_modelo'!$C$152,0)</f>
        <v>0</v>
      </c>
      <c r="J276" s="87"/>
      <c r="K276" s="87"/>
      <c r="L276" s="87"/>
      <c r="M276" s="88">
        <f>IFERROR(M273*'3) Parametros_modelo'!$C$151/'3) Parametros_modelo'!$C$152,0)</f>
        <v>0</v>
      </c>
      <c r="N276" s="87"/>
      <c r="O276" s="87"/>
      <c r="P276" s="87"/>
      <c r="Q276" s="773"/>
      <c r="R276" s="534"/>
      <c r="S276" s="397"/>
      <c r="T276" s="397"/>
    </row>
    <row r="277" spans="1:20" x14ac:dyDescent="0.35">
      <c r="A277" s="299"/>
      <c r="B277" s="775" t="str">
        <f>Language!A692</f>
        <v>Limpieza de áreas públicas (plazas)</v>
      </c>
      <c r="C277" s="776"/>
      <c r="D277" s="776"/>
      <c r="E277" s="776"/>
      <c r="F277" s="777"/>
      <c r="G277" s="777"/>
      <c r="H277" s="777"/>
      <c r="I277" s="777"/>
      <c r="J277" s="777"/>
      <c r="K277" s="777"/>
      <c r="L277" s="777"/>
      <c r="M277" s="777"/>
      <c r="N277" s="777"/>
      <c r="O277" s="777"/>
      <c r="P277" s="777"/>
      <c r="Q277" s="727"/>
      <c r="R277" s="534"/>
      <c r="S277" s="397"/>
      <c r="T277" s="397"/>
    </row>
    <row r="278" spans="1:20" x14ac:dyDescent="0.35">
      <c r="A278" s="299"/>
      <c r="B278" s="757" t="str">
        <f>Language!A693</f>
        <v>área pública limpiada por semana [km2/semana]</v>
      </c>
      <c r="C278" s="87">
        <f>'3) Parametros_modelo'!$C$156*'3) Parametros_modelo'!$C$158</f>
        <v>0</v>
      </c>
      <c r="D278" s="87">
        <f>'3) Parametros_modelo'!$C$156*'3) Parametros_modelo'!$C$158</f>
        <v>0</v>
      </c>
      <c r="E278" s="87">
        <f>'3) Parametros_modelo'!$C$156*'3) Parametros_modelo'!$C$158</f>
        <v>0</v>
      </c>
      <c r="F278" s="87">
        <f>'3) Parametros_modelo'!$C$156*'3) Parametros_modelo'!$C$158</f>
        <v>0</v>
      </c>
      <c r="G278" s="87">
        <f>'3) Parametros_modelo'!$C$156*'3) Parametros_modelo'!$C$158</f>
        <v>0</v>
      </c>
      <c r="H278" s="87">
        <f>'3) Parametros_modelo'!$C$156*'3) Parametros_modelo'!$C$158</f>
        <v>0</v>
      </c>
      <c r="I278" s="87">
        <f>'3) Parametros_modelo'!$C$156*'3) Parametros_modelo'!$C$158</f>
        <v>0</v>
      </c>
      <c r="J278" s="89"/>
      <c r="K278" s="89"/>
      <c r="L278" s="89"/>
      <c r="M278" s="87">
        <f>'3) Parametros_modelo'!$C$156*'3) Parametros_modelo'!$C$158</f>
        <v>0</v>
      </c>
      <c r="N278" s="89"/>
      <c r="O278" s="89"/>
      <c r="P278" s="89"/>
      <c r="Q278" s="773"/>
      <c r="R278" s="534"/>
      <c r="S278" s="397"/>
      <c r="T278" s="397"/>
    </row>
    <row r="279" spans="1:20" x14ac:dyDescent="0.35">
      <c r="A279" s="299"/>
      <c r="B279" s="757" t="str">
        <f>Language!A694</f>
        <v>área pública limpiada por año [km2/año]</v>
      </c>
      <c r="C279" s="87">
        <f>C278*52</f>
        <v>0</v>
      </c>
      <c r="D279" s="87">
        <f t="shared" ref="D279:I279" si="116">D278*52</f>
        <v>0</v>
      </c>
      <c r="E279" s="87">
        <f t="shared" si="116"/>
        <v>0</v>
      </c>
      <c r="F279" s="87">
        <f t="shared" si="116"/>
        <v>0</v>
      </c>
      <c r="G279" s="87">
        <f t="shared" si="116"/>
        <v>0</v>
      </c>
      <c r="H279" s="87">
        <f t="shared" si="116"/>
        <v>0</v>
      </c>
      <c r="I279" s="87">
        <f t="shared" si="116"/>
        <v>0</v>
      </c>
      <c r="J279" s="89"/>
      <c r="K279" s="89"/>
      <c r="L279" s="89"/>
      <c r="M279" s="87">
        <f t="shared" ref="M279" si="117">M278*52</f>
        <v>0</v>
      </c>
      <c r="N279" s="89"/>
      <c r="O279" s="89"/>
      <c r="P279" s="89"/>
      <c r="Q279" s="773"/>
      <c r="R279" s="534"/>
      <c r="S279" s="397"/>
      <c r="T279" s="397"/>
    </row>
    <row r="280" spans="1:20" x14ac:dyDescent="0.35">
      <c r="A280" s="299"/>
      <c r="B280" s="757" t="str">
        <f>Language!A695</f>
        <v>Capacidad de limpieza por empleada/o por año [km2/año]</v>
      </c>
      <c r="C280" s="87">
        <f>daysofwork*52*'3) Parametros_modelo'!$C$161</f>
        <v>0</v>
      </c>
      <c r="D280" s="87">
        <f>daysofwork*52*'3) Parametros_modelo'!$C$161</f>
        <v>0</v>
      </c>
      <c r="E280" s="87">
        <f>daysofwork*52*'3) Parametros_modelo'!$C$161</f>
        <v>0</v>
      </c>
      <c r="F280" s="87">
        <f>daysofwork*52*'3) Parametros_modelo'!$C$161</f>
        <v>0</v>
      </c>
      <c r="G280" s="87">
        <f>daysofwork*52*'3) Parametros_modelo'!$C$161</f>
        <v>0</v>
      </c>
      <c r="H280" s="87">
        <f>daysofwork*52*'3) Parametros_modelo'!$C$161</f>
        <v>0</v>
      </c>
      <c r="I280" s="87">
        <f>daysofwork*52*'3) Parametros_modelo'!$C$161</f>
        <v>0</v>
      </c>
      <c r="J280" s="89"/>
      <c r="K280" s="89"/>
      <c r="L280" s="89"/>
      <c r="M280" s="87">
        <f>daysofwork*52*'3) Parametros_modelo'!$C$161</f>
        <v>0</v>
      </c>
      <c r="N280" s="89"/>
      <c r="O280" s="89"/>
      <c r="P280" s="89"/>
      <c r="Q280" s="773"/>
      <c r="R280" s="534"/>
      <c r="S280" s="397"/>
      <c r="T280" s="397"/>
    </row>
    <row r="281" spans="1:20" x14ac:dyDescent="0.35">
      <c r="A281" s="299"/>
      <c r="B281" s="757" t="str">
        <f>Language!A696</f>
        <v>Cantidad de empleadas/os necesarios</v>
      </c>
      <c r="C281" s="87">
        <f>IFERROR(ROUNDUP(C279/C280,0),0)</f>
        <v>0</v>
      </c>
      <c r="D281" s="87">
        <f t="shared" ref="D281:I281" si="118">IFERROR(ROUNDUP(D279/D280,0),0)</f>
        <v>0</v>
      </c>
      <c r="E281" s="87">
        <f t="shared" si="118"/>
        <v>0</v>
      </c>
      <c r="F281" s="87">
        <f t="shared" si="118"/>
        <v>0</v>
      </c>
      <c r="G281" s="87">
        <f t="shared" si="118"/>
        <v>0</v>
      </c>
      <c r="H281" s="87">
        <f t="shared" si="118"/>
        <v>0</v>
      </c>
      <c r="I281" s="87">
        <f t="shared" si="118"/>
        <v>0</v>
      </c>
      <c r="J281" s="89"/>
      <c r="K281" s="89"/>
      <c r="L281" s="89"/>
      <c r="M281" s="87">
        <f t="shared" ref="M281" si="119">IFERROR(ROUNDUP(M279/M280,0),0)</f>
        <v>0</v>
      </c>
      <c r="N281" s="89"/>
      <c r="O281" s="89"/>
      <c r="P281" s="89"/>
      <c r="Q281" s="773"/>
      <c r="R281" s="534"/>
      <c r="S281" s="397"/>
      <c r="T281" s="397"/>
    </row>
    <row r="282" spans="1:20" x14ac:dyDescent="0.35">
      <c r="A282" s="299"/>
      <c r="B282" s="757" t="str">
        <f>Language!A697</f>
        <v>Cantidad de empleadas/os por supervisor/a</v>
      </c>
      <c r="C282" s="50">
        <v>30</v>
      </c>
      <c r="D282" s="50">
        <v>30</v>
      </c>
      <c r="E282" s="50">
        <v>30</v>
      </c>
      <c r="F282" s="50">
        <v>30</v>
      </c>
      <c r="G282" s="50">
        <v>30</v>
      </c>
      <c r="H282" s="50">
        <v>30</v>
      </c>
      <c r="I282" s="50">
        <v>30</v>
      </c>
      <c r="J282" s="89"/>
      <c r="K282" s="89"/>
      <c r="L282" s="89"/>
      <c r="M282" s="50">
        <v>30</v>
      </c>
      <c r="N282" s="89"/>
      <c r="O282" s="89"/>
      <c r="P282" s="89"/>
      <c r="Q282" s="773"/>
      <c r="R282" s="534"/>
      <c r="S282" s="397"/>
      <c r="T282" s="397"/>
    </row>
    <row r="283" spans="1:20" x14ac:dyDescent="0.35">
      <c r="A283" s="299"/>
      <c r="B283" s="757" t="str">
        <f>Language!A698</f>
        <v>Cantidad de supervisoras/es (para barrido/limpieza urbana)</v>
      </c>
      <c r="C283" s="87">
        <f t="shared" ref="C283:I283" si="120">ROUNDUP(SUM(C281,C273,C266)/C282,0)</f>
        <v>0</v>
      </c>
      <c r="D283" s="87">
        <f t="shared" si="120"/>
        <v>0</v>
      </c>
      <c r="E283" s="87">
        <f t="shared" si="120"/>
        <v>0</v>
      </c>
      <c r="F283" s="87">
        <f t="shared" si="120"/>
        <v>0</v>
      </c>
      <c r="G283" s="87">
        <f t="shared" si="120"/>
        <v>0</v>
      </c>
      <c r="H283" s="87">
        <f t="shared" si="120"/>
        <v>0</v>
      </c>
      <c r="I283" s="87">
        <f t="shared" si="120"/>
        <v>0</v>
      </c>
      <c r="J283" s="89"/>
      <c r="K283" s="89"/>
      <c r="L283" s="89"/>
      <c r="M283" s="87">
        <f>ROUNDUP(SUM(M281,M273,M266)/M282,0)</f>
        <v>0</v>
      </c>
      <c r="N283" s="89"/>
      <c r="O283" s="89"/>
      <c r="P283" s="89"/>
      <c r="Q283" s="773"/>
      <c r="R283" s="534"/>
      <c r="S283" s="397"/>
      <c r="T283" s="397"/>
    </row>
    <row r="284" spans="1:20" x14ac:dyDescent="0.35">
      <c r="A284" s="299"/>
      <c r="B284" s="757" t="str">
        <f>Language!A699</f>
        <v>Costos anuales personal [$$$/año]</v>
      </c>
      <c r="C284" s="88">
        <f>C281*('3) Parametros_modelo'!$C$173+'3) Parametros_modelo'!$C$174)+C283*('3) Parametros_modelo'!$C$171+'3) Parametros_modelo'!$C$172)</f>
        <v>0</v>
      </c>
      <c r="D284" s="88">
        <f>D281*('3) Parametros_modelo'!$C$173+'3) Parametros_modelo'!$C$174)+D283*('3) Parametros_modelo'!$C$171+'3) Parametros_modelo'!$C$172)</f>
        <v>0</v>
      </c>
      <c r="E284" s="88">
        <f>E281*('3) Parametros_modelo'!$C$173+'3) Parametros_modelo'!$C$174)+E283*('3) Parametros_modelo'!$C$171+'3) Parametros_modelo'!$C$172)</f>
        <v>0</v>
      </c>
      <c r="F284" s="88">
        <f>F281*('3) Parametros_modelo'!$C$173+'3) Parametros_modelo'!$C$174)+F283*('3) Parametros_modelo'!$C$171+'3) Parametros_modelo'!$C$172)</f>
        <v>0</v>
      </c>
      <c r="G284" s="88">
        <f>G281*('3) Parametros_modelo'!$C$173+'3) Parametros_modelo'!$C$174)+G283*('3) Parametros_modelo'!$C$171+'3) Parametros_modelo'!$C$172)</f>
        <v>0</v>
      </c>
      <c r="H284" s="88">
        <f>H281*('3) Parametros_modelo'!$C$173+'3) Parametros_modelo'!$C$174)+H283*('3) Parametros_modelo'!$C$171+'3) Parametros_modelo'!$C$172)</f>
        <v>0</v>
      </c>
      <c r="I284" s="88">
        <f>I281*('3) Parametros_modelo'!$C$173+'3) Parametros_modelo'!$C$174)+I283*('3) Parametros_modelo'!$C$171+'3) Parametros_modelo'!$C$172)</f>
        <v>0</v>
      </c>
      <c r="J284" s="89"/>
      <c r="K284" s="89"/>
      <c r="L284" s="89"/>
      <c r="M284" s="88">
        <f>M281*('3) Parametros_modelo'!$C$173+'3) Parametros_modelo'!$C$174)+M283*('3) Parametros_modelo'!$C$171+'3) Parametros_modelo'!$C$172)</f>
        <v>0</v>
      </c>
      <c r="N284" s="89"/>
      <c r="O284" s="89"/>
      <c r="P284" s="89"/>
      <c r="Q284" s="773"/>
      <c r="R284" s="534"/>
      <c r="S284" s="397"/>
      <c r="T284" s="397"/>
    </row>
    <row r="285" spans="1:20" x14ac:dyDescent="0.35">
      <c r="A285" s="299"/>
      <c r="B285" s="757" t="str">
        <f>Language!A700</f>
        <v>Costos anuales materiales [$$$/año]</v>
      </c>
      <c r="C285" s="105">
        <f>C279*'3) Parametros_modelo'!$C$170</f>
        <v>0</v>
      </c>
      <c r="D285" s="87">
        <f>D279*'3) Parametros_modelo'!$C$170</f>
        <v>0</v>
      </c>
      <c r="E285" s="87">
        <f>E279*'3) Parametros_modelo'!$C$170</f>
        <v>0</v>
      </c>
      <c r="F285" s="87">
        <f>F279*'3) Parametros_modelo'!$C$170</f>
        <v>0</v>
      </c>
      <c r="G285" s="87">
        <f>G279*'3) Parametros_modelo'!$C$170</f>
        <v>0</v>
      </c>
      <c r="H285" s="87">
        <f>H279*'3) Parametros_modelo'!$C$170</f>
        <v>0</v>
      </c>
      <c r="I285" s="87">
        <f>I279*'3) Parametros_modelo'!$C$170</f>
        <v>0</v>
      </c>
      <c r="J285" s="89"/>
      <c r="K285" s="89"/>
      <c r="L285" s="89"/>
      <c r="M285" s="87">
        <f>M279*'3) Parametros_modelo'!$C$170</f>
        <v>0</v>
      </c>
      <c r="N285" s="89"/>
      <c r="O285" s="89"/>
      <c r="P285" s="89"/>
      <c r="Q285" s="773"/>
      <c r="R285" s="534"/>
      <c r="S285" s="397"/>
      <c r="T285" s="397"/>
    </row>
    <row r="286" spans="1:20" x14ac:dyDescent="0.35">
      <c r="A286" s="299"/>
      <c r="B286" s="757" t="str">
        <f>Language!A701</f>
        <v>Costos anuales de basureros [$$$/año]</v>
      </c>
      <c r="C286" s="88">
        <f>IFERROR('3) Parametros_modelo'!$C$162*'3) Parametros_modelo'!$C$163/'3) Parametros_modelo'!$C$164,0)</f>
        <v>0</v>
      </c>
      <c r="D286" s="88">
        <f>IFERROR('3) Parametros_modelo'!$C$162*'3) Parametros_modelo'!$C$163/'3) Parametros_modelo'!$C$164,0)</f>
        <v>0</v>
      </c>
      <c r="E286" s="88">
        <f>IFERROR('3) Parametros_modelo'!$C$162*'3) Parametros_modelo'!$C$163/'3) Parametros_modelo'!$C$164,0)</f>
        <v>0</v>
      </c>
      <c r="F286" s="88">
        <f>IFERROR('3) Parametros_modelo'!$C$162*'3) Parametros_modelo'!$C$163/'3) Parametros_modelo'!$C$164,0)</f>
        <v>0</v>
      </c>
      <c r="G286" s="88">
        <f>IFERROR('3) Parametros_modelo'!$C$162*'3) Parametros_modelo'!$C$163/'3) Parametros_modelo'!$C$164,0)</f>
        <v>0</v>
      </c>
      <c r="H286" s="88">
        <f>IFERROR('3) Parametros_modelo'!$C$162*'3) Parametros_modelo'!$C$163/'3) Parametros_modelo'!$C$164,0)</f>
        <v>0</v>
      </c>
      <c r="I286" s="88">
        <f>IFERROR('3) Parametros_modelo'!$C$162*'3) Parametros_modelo'!$C$163/'3) Parametros_modelo'!$C$164,0)</f>
        <v>0</v>
      </c>
      <c r="J286" s="87"/>
      <c r="K286" s="87"/>
      <c r="L286" s="87"/>
      <c r="M286" s="88">
        <f>IFERROR('3) Parametros_modelo'!$C$162*'3) Parametros_modelo'!$C$163/'3) Parametros_modelo'!$C$164,0)</f>
        <v>0</v>
      </c>
      <c r="N286" s="89"/>
      <c r="O286" s="89"/>
      <c r="P286" s="89"/>
      <c r="Q286" s="773"/>
      <c r="R286" s="534"/>
      <c r="S286" s="397"/>
      <c r="T286" s="397"/>
    </row>
    <row r="287" spans="1:20" ht="15" thickBot="1" x14ac:dyDescent="0.4">
      <c r="A287" s="299"/>
      <c r="B287" s="759" t="str">
        <f>Language!A702</f>
        <v>Costo anual del servicio [$$$/año]</v>
      </c>
      <c r="C287" s="778">
        <f>SUM(C267,C268,C274,C275,C276,C284,C285,C286)</f>
        <v>0</v>
      </c>
      <c r="D287" s="778">
        <f t="shared" ref="D287:I287" si="121">SUM(D267,D268,D274,D275,D276,D284,D285,D286)</f>
        <v>0</v>
      </c>
      <c r="E287" s="778">
        <f t="shared" si="121"/>
        <v>0</v>
      </c>
      <c r="F287" s="778">
        <f t="shared" si="121"/>
        <v>0</v>
      </c>
      <c r="G287" s="778">
        <f t="shared" si="121"/>
        <v>0</v>
      </c>
      <c r="H287" s="778">
        <f t="shared" si="121"/>
        <v>0</v>
      </c>
      <c r="I287" s="778">
        <f t="shared" si="121"/>
        <v>0</v>
      </c>
      <c r="J287" s="779"/>
      <c r="K287" s="779"/>
      <c r="L287" s="779"/>
      <c r="M287" s="778">
        <f>SUM(M267,M268,M274,M275,M276,M284,M285,M286)</f>
        <v>0</v>
      </c>
      <c r="N287" s="779"/>
      <c r="O287" s="779"/>
      <c r="P287" s="779"/>
      <c r="Q287" s="774"/>
      <c r="R287" s="534"/>
      <c r="S287" s="90"/>
    </row>
    <row r="288" spans="1:20" ht="15" thickBot="1" x14ac:dyDescent="0.4">
      <c r="A288" s="299"/>
      <c r="C288" s="478"/>
    </row>
    <row r="289" spans="1:20" ht="43.15" customHeight="1" x14ac:dyDescent="0.35">
      <c r="A289" s="299"/>
      <c r="B289" s="767" t="str">
        <f>Language!A703</f>
        <v>RESUMEN de costos</v>
      </c>
      <c r="C289" s="780" t="str">
        <f t="shared" ref="C289:I289" si="122">C5</f>
        <v>A.1 Recolección por acera</v>
      </c>
      <c r="D289" s="780" t="str">
        <f t="shared" si="122"/>
        <v>A.2 Recolección por acera</v>
      </c>
      <c r="E289" s="780" t="str">
        <f t="shared" si="122"/>
        <v>B.1 Recolección por esquina</v>
      </c>
      <c r="F289" s="780" t="str">
        <f t="shared" si="122"/>
        <v>B.2 Recolección por esquina</v>
      </c>
      <c r="G289" s="780" t="str">
        <f t="shared" si="122"/>
        <v>C.1 Recolección con contenedores</v>
      </c>
      <c r="H289" s="780" t="str">
        <f t="shared" si="122"/>
        <v>C.1 Recolección con contenedores</v>
      </c>
      <c r="I289" s="1063" t="str">
        <f t="shared" si="122"/>
        <v>C.1 Recolección con contenedores</v>
      </c>
      <c r="J289" s="1063"/>
      <c r="K289" s="1063"/>
      <c r="L289" s="1063"/>
      <c r="M289" s="1063" t="str">
        <f>M5</f>
        <v>D.2 Recolección diferenciada con contenedores</v>
      </c>
      <c r="N289" s="1063"/>
      <c r="O289" s="1063"/>
      <c r="P289" s="1063"/>
      <c r="Q289" s="745"/>
      <c r="R289" s="746"/>
    </row>
    <row r="290" spans="1:20" ht="14.25" customHeight="1" x14ac:dyDescent="0.35">
      <c r="A290" s="299"/>
      <c r="B290" s="498" t="str">
        <f>Language!A704</f>
        <v>Costo de barrido/limpieza urbana [$$$/año]</v>
      </c>
      <c r="C290" s="781">
        <f>IFERROR(C287,0)</f>
        <v>0</v>
      </c>
      <c r="D290" s="781">
        <f t="shared" ref="D290:H290" si="123">IFERROR(D287,0)</f>
        <v>0</v>
      </c>
      <c r="E290" s="781">
        <f t="shared" si="123"/>
        <v>0</v>
      </c>
      <c r="F290" s="781">
        <f t="shared" si="123"/>
        <v>0</v>
      </c>
      <c r="G290" s="781">
        <f t="shared" si="123"/>
        <v>0</v>
      </c>
      <c r="H290" s="781">
        <f t="shared" si="123"/>
        <v>0</v>
      </c>
      <c r="I290" s="1064">
        <f>IFERROR(I287,0)</f>
        <v>0</v>
      </c>
      <c r="J290" s="1065"/>
      <c r="K290" s="1065"/>
      <c r="L290" s="1066"/>
      <c r="M290" s="1064">
        <f>IFERROR(M287,0)</f>
        <v>0</v>
      </c>
      <c r="N290" s="1065"/>
      <c r="O290" s="1065"/>
      <c r="P290" s="1066"/>
      <c r="Q290" s="782"/>
      <c r="R290" s="746"/>
      <c r="S290" s="397"/>
      <c r="T290" s="397" t="s">
        <v>137</v>
      </c>
    </row>
    <row r="291" spans="1:20" x14ac:dyDescent="0.35">
      <c r="A291" s="299"/>
      <c r="B291" s="498" t="str">
        <f>Language!A705</f>
        <v>Costo de recolección primaria [$$$/año]</v>
      </c>
      <c r="C291" s="783" t="str">
        <f t="shared" ref="C291:I291" si="124">C65</f>
        <v/>
      </c>
      <c r="D291" s="783" t="str">
        <f t="shared" si="124"/>
        <v/>
      </c>
      <c r="E291" s="783" t="str">
        <f t="shared" si="124"/>
        <v/>
      </c>
      <c r="F291" s="783" t="str">
        <f t="shared" si="124"/>
        <v/>
      </c>
      <c r="G291" s="783" t="str">
        <f t="shared" si="124"/>
        <v/>
      </c>
      <c r="H291" s="783" t="str">
        <f t="shared" si="124"/>
        <v/>
      </c>
      <c r="I291" s="1069" t="str">
        <f t="shared" si="124"/>
        <v/>
      </c>
      <c r="J291" s="1069"/>
      <c r="K291" s="1069"/>
      <c r="L291" s="1069"/>
      <c r="M291" s="1069" t="str">
        <f>M65</f>
        <v/>
      </c>
      <c r="N291" s="1069"/>
      <c r="O291" s="1069"/>
      <c r="P291" s="1069"/>
      <c r="Q291" s="782"/>
      <c r="R291" s="746"/>
      <c r="S291" s="397"/>
      <c r="T291" s="397"/>
    </row>
    <row r="292" spans="1:20" x14ac:dyDescent="0.35">
      <c r="A292" s="299"/>
      <c r="B292" s="498" t="str">
        <f>Language!A706</f>
        <v>Costo de camiones recolectores [$$$/año]</v>
      </c>
      <c r="C292" s="784" t="e">
        <f t="shared" ref="C292:I292" si="125">C217</f>
        <v>#DIV/0!</v>
      </c>
      <c r="D292" s="784" t="e">
        <f t="shared" si="125"/>
        <v>#DIV/0!</v>
      </c>
      <c r="E292" s="784" t="e">
        <f t="shared" si="125"/>
        <v>#DIV/0!</v>
      </c>
      <c r="F292" s="784" t="e">
        <f t="shared" si="125"/>
        <v>#DIV/0!</v>
      </c>
      <c r="G292" s="784" t="e">
        <f t="shared" si="125"/>
        <v>#DIV/0!</v>
      </c>
      <c r="H292" s="784" t="e">
        <f t="shared" si="125"/>
        <v>#DIV/0!</v>
      </c>
      <c r="I292" s="1060" t="e">
        <f t="shared" si="125"/>
        <v>#DIV/0!</v>
      </c>
      <c r="J292" s="1060"/>
      <c r="K292" s="1060"/>
      <c r="L292" s="1060"/>
      <c r="M292" s="1060" t="e">
        <f>M217</f>
        <v>#DIV/0!</v>
      </c>
      <c r="N292" s="1060"/>
      <c r="O292" s="1060"/>
      <c r="P292" s="1060"/>
      <c r="Q292" s="548"/>
    </row>
    <row r="293" spans="1:20" x14ac:dyDescent="0.35">
      <c r="A293" s="299"/>
      <c r="B293" s="498" t="str">
        <f>Language!A707</f>
        <v>Costo de camiones de transferencia [$$$/año]</v>
      </c>
      <c r="C293" s="784" t="e">
        <f t="shared" ref="C293:I293" si="126">C219</f>
        <v>#DIV/0!</v>
      </c>
      <c r="D293" s="784" t="e">
        <f t="shared" si="126"/>
        <v>#DIV/0!</v>
      </c>
      <c r="E293" s="784" t="e">
        <f t="shared" si="126"/>
        <v>#DIV/0!</v>
      </c>
      <c r="F293" s="784" t="e">
        <f t="shared" si="126"/>
        <v>#DIV/0!</v>
      </c>
      <c r="G293" s="784" t="e">
        <f t="shared" si="126"/>
        <v>#DIV/0!</v>
      </c>
      <c r="H293" s="784" t="e">
        <f t="shared" si="126"/>
        <v>#DIV/0!</v>
      </c>
      <c r="I293" s="1060" t="e">
        <f t="shared" si="126"/>
        <v>#DIV/0!</v>
      </c>
      <c r="J293" s="1060"/>
      <c r="K293" s="1060"/>
      <c r="L293" s="1060"/>
      <c r="M293" s="1060" t="e">
        <f>M219</f>
        <v>#DIV/0!</v>
      </c>
      <c r="N293" s="1060"/>
      <c r="O293" s="1060"/>
      <c r="P293" s="1060"/>
      <c r="Q293" s="548"/>
      <c r="S293" s="397"/>
      <c r="T293" s="397"/>
    </row>
    <row r="294" spans="1:20" x14ac:dyDescent="0.35">
      <c r="A294" s="299"/>
      <c r="B294" s="498" t="str">
        <f>Language!A708</f>
        <v>Costo de estación de transferencia [$$$/año]</v>
      </c>
      <c r="C294" s="784">
        <f t="shared" ref="C294:I294" si="127">C216</f>
        <v>0</v>
      </c>
      <c r="D294" s="784">
        <f t="shared" si="127"/>
        <v>8024.2587190691311</v>
      </c>
      <c r="E294" s="784">
        <f t="shared" si="127"/>
        <v>0</v>
      </c>
      <c r="F294" s="784">
        <f t="shared" si="127"/>
        <v>8024.2587190691311</v>
      </c>
      <c r="G294" s="784">
        <f t="shared" si="127"/>
        <v>0</v>
      </c>
      <c r="H294" s="784">
        <f t="shared" si="127"/>
        <v>8024.2587190691311</v>
      </c>
      <c r="I294" s="1060">
        <f t="shared" si="127"/>
        <v>0</v>
      </c>
      <c r="J294" s="1060"/>
      <c r="K294" s="1060"/>
      <c r="L294" s="1060"/>
      <c r="M294" s="1060">
        <f>M216</f>
        <v>8024.2587190691311</v>
      </c>
      <c r="N294" s="1060"/>
      <c r="O294" s="1060"/>
      <c r="P294" s="1060"/>
      <c r="Q294" s="548"/>
    </row>
    <row r="295" spans="1:20" x14ac:dyDescent="0.35">
      <c r="A295" s="299"/>
      <c r="B295" s="498" t="str">
        <f>Language!A709</f>
        <v>Costo de seguros de vehículos [$$$/año]</v>
      </c>
      <c r="C295" s="784" t="e">
        <f t="shared" ref="C295:I296" si="128">C211</f>
        <v>#DIV/0!</v>
      </c>
      <c r="D295" s="784" t="e">
        <f t="shared" si="128"/>
        <v>#DIV/0!</v>
      </c>
      <c r="E295" s="784" t="e">
        <f t="shared" si="128"/>
        <v>#DIV/0!</v>
      </c>
      <c r="F295" s="784" t="e">
        <f t="shared" si="128"/>
        <v>#DIV/0!</v>
      </c>
      <c r="G295" s="784" t="e">
        <f t="shared" si="128"/>
        <v>#DIV/0!</v>
      </c>
      <c r="H295" s="784" t="e">
        <f t="shared" si="128"/>
        <v>#DIV/0!</v>
      </c>
      <c r="I295" s="1060" t="e">
        <f t="shared" si="128"/>
        <v>#DIV/0!</v>
      </c>
      <c r="J295" s="1060"/>
      <c r="K295" s="1060"/>
      <c r="L295" s="1060"/>
      <c r="M295" s="1060" t="e">
        <f>M211</f>
        <v>#DIV/0!</v>
      </c>
      <c r="N295" s="1060"/>
      <c r="O295" s="1060"/>
      <c r="P295" s="1060"/>
      <c r="Q295" s="548"/>
    </row>
    <row r="296" spans="1:20" x14ac:dyDescent="0.35">
      <c r="A296" s="299"/>
      <c r="B296" s="498" t="str">
        <f>Language!A710</f>
        <v>Costo de mantenimiento de vehículos [$$$/año]</v>
      </c>
      <c r="C296" s="784" t="e">
        <f t="shared" si="128"/>
        <v>#DIV/0!</v>
      </c>
      <c r="D296" s="784" t="e">
        <f t="shared" si="128"/>
        <v>#DIV/0!</v>
      </c>
      <c r="E296" s="784" t="e">
        <f t="shared" si="128"/>
        <v>#DIV/0!</v>
      </c>
      <c r="F296" s="784" t="e">
        <f t="shared" si="128"/>
        <v>#DIV/0!</v>
      </c>
      <c r="G296" s="784" t="e">
        <f t="shared" si="128"/>
        <v>#DIV/0!</v>
      </c>
      <c r="H296" s="784" t="e">
        <f t="shared" si="128"/>
        <v>#DIV/0!</v>
      </c>
      <c r="I296" s="1060" t="e">
        <f t="shared" si="128"/>
        <v>#DIV/0!</v>
      </c>
      <c r="J296" s="1060"/>
      <c r="K296" s="1060"/>
      <c r="L296" s="1060"/>
      <c r="M296" s="1060" t="e">
        <f>M212</f>
        <v>#DIV/0!</v>
      </c>
      <c r="N296" s="1060"/>
      <c r="O296" s="1060"/>
      <c r="P296" s="1060"/>
      <c r="Q296" s="548"/>
    </row>
    <row r="297" spans="1:20" x14ac:dyDescent="0.35">
      <c r="A297" s="299"/>
      <c r="B297" s="498" t="str">
        <f>Language!A711</f>
        <v>Costo de gasolina/diésel para vehículos [$$$/año]</v>
      </c>
      <c r="C297" s="784" t="e">
        <f t="shared" ref="C297:I297" si="129">C210</f>
        <v>#DIV/0!</v>
      </c>
      <c r="D297" s="784" t="e">
        <f t="shared" si="129"/>
        <v>#DIV/0!</v>
      </c>
      <c r="E297" s="784" t="e">
        <f t="shared" si="129"/>
        <v>#DIV/0!</v>
      </c>
      <c r="F297" s="784" t="e">
        <f t="shared" si="129"/>
        <v>#DIV/0!</v>
      </c>
      <c r="G297" s="784" t="e">
        <f t="shared" si="129"/>
        <v>#DIV/0!</v>
      </c>
      <c r="H297" s="784" t="e">
        <f t="shared" si="129"/>
        <v>#DIV/0!</v>
      </c>
      <c r="I297" s="1060" t="e">
        <f t="shared" si="129"/>
        <v>#DIV/0!</v>
      </c>
      <c r="J297" s="1060"/>
      <c r="K297" s="1060"/>
      <c r="L297" s="1060"/>
      <c r="M297" s="1060" t="e">
        <f>M210</f>
        <v>#DIV/0!</v>
      </c>
      <c r="N297" s="1060"/>
      <c r="O297" s="1060"/>
      <c r="P297" s="1060"/>
      <c r="Q297" s="548"/>
    </row>
    <row r="298" spans="1:20" x14ac:dyDescent="0.35">
      <c r="A298" s="299"/>
      <c r="B298" s="498" t="str">
        <f>Language!A712</f>
        <v>Costo de contenedores [$$$/año]</v>
      </c>
      <c r="C298" s="784">
        <f t="shared" ref="C298:I298" si="130">C218</f>
        <v>0</v>
      </c>
      <c r="D298" s="784">
        <f t="shared" si="130"/>
        <v>0</v>
      </c>
      <c r="E298" s="784">
        <f t="shared" si="130"/>
        <v>0</v>
      </c>
      <c r="F298" s="784">
        <f t="shared" si="130"/>
        <v>0</v>
      </c>
      <c r="G298" s="784" t="e">
        <f t="shared" si="130"/>
        <v>#DIV/0!</v>
      </c>
      <c r="H298" s="784" t="e">
        <f t="shared" si="130"/>
        <v>#DIV/0!</v>
      </c>
      <c r="I298" s="1060" t="e">
        <f t="shared" si="130"/>
        <v>#DIV/0!</v>
      </c>
      <c r="J298" s="1060"/>
      <c r="K298" s="1060"/>
      <c r="L298" s="1060"/>
      <c r="M298" s="1060" t="e">
        <f>M218</f>
        <v>#DIV/0!</v>
      </c>
      <c r="N298" s="1060"/>
      <c r="O298" s="1060"/>
      <c r="P298" s="1060"/>
      <c r="Q298" s="548"/>
    </row>
    <row r="299" spans="1:20" x14ac:dyDescent="0.35">
      <c r="A299" s="299"/>
      <c r="B299" s="498" t="str">
        <f>Language!A713</f>
        <v>Costos de personal de transferencia [$$$/año]</v>
      </c>
      <c r="C299" s="784">
        <f t="shared" ref="C299:I300" si="131">C197</f>
        <v>0</v>
      </c>
      <c r="D299" s="784">
        <f t="shared" si="131"/>
        <v>0</v>
      </c>
      <c r="E299" s="784">
        <f t="shared" si="131"/>
        <v>0</v>
      </c>
      <c r="F299" s="784">
        <f t="shared" si="131"/>
        <v>0</v>
      </c>
      <c r="G299" s="784">
        <f t="shared" si="131"/>
        <v>0</v>
      </c>
      <c r="H299" s="784">
        <f t="shared" si="131"/>
        <v>0</v>
      </c>
      <c r="I299" s="1060">
        <f t="shared" si="131"/>
        <v>0</v>
      </c>
      <c r="J299" s="1060"/>
      <c r="K299" s="1060"/>
      <c r="L299" s="1060"/>
      <c r="M299" s="1060">
        <f>M197</f>
        <v>0</v>
      </c>
      <c r="N299" s="1060"/>
      <c r="O299" s="1060"/>
      <c r="P299" s="1060"/>
      <c r="Q299" s="548"/>
    </row>
    <row r="300" spans="1:20" x14ac:dyDescent="0.35">
      <c r="A300" s="299"/>
      <c r="B300" s="498" t="str">
        <f>Language!A714</f>
        <v>Costos de personal de recolección [$$$/año]</v>
      </c>
      <c r="C300" s="784" t="e">
        <f t="shared" si="131"/>
        <v>#DIV/0!</v>
      </c>
      <c r="D300" s="784" t="e">
        <f t="shared" si="131"/>
        <v>#DIV/0!</v>
      </c>
      <c r="E300" s="784" t="e">
        <f t="shared" si="131"/>
        <v>#DIV/0!</v>
      </c>
      <c r="F300" s="784" t="e">
        <f t="shared" si="131"/>
        <v>#DIV/0!</v>
      </c>
      <c r="G300" s="784" t="e">
        <f t="shared" si="131"/>
        <v>#DIV/0!</v>
      </c>
      <c r="H300" s="784" t="e">
        <f t="shared" si="131"/>
        <v>#DIV/0!</v>
      </c>
      <c r="I300" s="1060" t="e">
        <f t="shared" si="131"/>
        <v>#DIV/0!</v>
      </c>
      <c r="J300" s="1060"/>
      <c r="K300" s="1060"/>
      <c r="L300" s="1060"/>
      <c r="M300" s="1060" t="e">
        <f>M198</f>
        <v>#DIV/0!</v>
      </c>
      <c r="N300" s="1060"/>
      <c r="O300" s="1060"/>
      <c r="P300" s="1060"/>
      <c r="Q300" s="548"/>
    </row>
    <row r="301" spans="1:20" x14ac:dyDescent="0.35">
      <c r="A301" s="299"/>
      <c r="B301" s="498" t="str">
        <f>Language!A715</f>
        <v>Costos de disposición final [$$$/año]</v>
      </c>
      <c r="C301" s="784">
        <f t="shared" ref="C301:I301" si="132">C233</f>
        <v>0</v>
      </c>
      <c r="D301" s="784">
        <f t="shared" si="132"/>
        <v>0</v>
      </c>
      <c r="E301" s="784">
        <f t="shared" si="132"/>
        <v>0</v>
      </c>
      <c r="F301" s="784">
        <f t="shared" si="132"/>
        <v>0</v>
      </c>
      <c r="G301" s="784">
        <f t="shared" si="132"/>
        <v>0</v>
      </c>
      <c r="H301" s="784">
        <f t="shared" si="132"/>
        <v>0</v>
      </c>
      <c r="I301" s="1060">
        <f t="shared" si="132"/>
        <v>0</v>
      </c>
      <c r="J301" s="1060"/>
      <c r="K301" s="1060"/>
      <c r="L301" s="1060"/>
      <c r="M301" s="1060">
        <f>M233</f>
        <v>0</v>
      </c>
      <c r="N301" s="1060"/>
      <c r="O301" s="1060"/>
      <c r="P301" s="1060"/>
      <c r="Q301" s="548"/>
    </row>
    <row r="302" spans="1:20" x14ac:dyDescent="0.35">
      <c r="A302" s="299"/>
      <c r="B302" s="498" t="str">
        <f>Language!A716</f>
        <v>Costos de compostaje [$$$/año]</v>
      </c>
      <c r="C302" s="784">
        <v>0</v>
      </c>
      <c r="D302" s="784">
        <v>0</v>
      </c>
      <c r="E302" s="784">
        <v>0</v>
      </c>
      <c r="F302" s="784">
        <v>0</v>
      </c>
      <c r="G302" s="784">
        <v>0</v>
      </c>
      <c r="H302" s="784">
        <v>0</v>
      </c>
      <c r="I302" s="1060">
        <f>L241</f>
        <v>0</v>
      </c>
      <c r="J302" s="1060"/>
      <c r="K302" s="1060"/>
      <c r="L302" s="1060"/>
      <c r="M302" s="1060">
        <f>P241</f>
        <v>0</v>
      </c>
      <c r="N302" s="1060"/>
      <c r="O302" s="1060"/>
      <c r="P302" s="1060"/>
      <c r="Q302" s="548"/>
    </row>
    <row r="303" spans="1:20" x14ac:dyDescent="0.35">
      <c r="A303" s="299"/>
      <c r="B303" s="498" t="str">
        <f>Language!A717</f>
        <v>Costos de gestión de reciclables [$$$/año]</v>
      </c>
      <c r="C303" s="784">
        <v>0</v>
      </c>
      <c r="D303" s="784">
        <v>0</v>
      </c>
      <c r="E303" s="784">
        <v>0</v>
      </c>
      <c r="F303" s="784">
        <v>0</v>
      </c>
      <c r="G303" s="784">
        <v>0</v>
      </c>
      <c r="H303" s="784">
        <v>0</v>
      </c>
      <c r="I303" s="1060">
        <f>K250</f>
        <v>0</v>
      </c>
      <c r="J303" s="1060"/>
      <c r="K303" s="1060"/>
      <c r="L303" s="1060"/>
      <c r="M303" s="1060">
        <f>O250</f>
        <v>0</v>
      </c>
      <c r="N303" s="1060"/>
      <c r="O303" s="1060"/>
      <c r="P303" s="1060"/>
      <c r="Q303" s="548"/>
    </row>
    <row r="304" spans="1:20" x14ac:dyDescent="0.35">
      <c r="A304" s="299"/>
      <c r="B304" s="498" t="str">
        <f>Language!A718</f>
        <v>Costos blandos (formación, educación y comunicación) [$$$/año]</v>
      </c>
      <c r="C304" s="784" t="e">
        <f t="shared" ref="C304:I304" si="133">C259*SUM(C290:C303)</f>
        <v>#DIV/0!</v>
      </c>
      <c r="D304" s="784" t="e">
        <f t="shared" si="133"/>
        <v>#DIV/0!</v>
      </c>
      <c r="E304" s="785" t="e">
        <f t="shared" si="133"/>
        <v>#DIV/0!</v>
      </c>
      <c r="F304" s="785" t="e">
        <f t="shared" si="133"/>
        <v>#DIV/0!</v>
      </c>
      <c r="G304" s="784" t="e">
        <f t="shared" si="133"/>
        <v>#DIV/0!</v>
      </c>
      <c r="H304" s="784" t="e">
        <f t="shared" si="133"/>
        <v>#DIV/0!</v>
      </c>
      <c r="I304" s="1060" t="e">
        <f t="shared" si="133"/>
        <v>#DIV/0!</v>
      </c>
      <c r="J304" s="1060"/>
      <c r="K304" s="1060"/>
      <c r="L304" s="1060"/>
      <c r="M304" s="1060" t="e">
        <f>M259*SUM(M290:M303)</f>
        <v>#DIV/0!</v>
      </c>
      <c r="N304" s="1060"/>
      <c r="O304" s="1060"/>
      <c r="P304" s="1060"/>
      <c r="Q304" s="548"/>
    </row>
    <row r="305" spans="1:20" x14ac:dyDescent="0.35">
      <c r="A305" s="299"/>
      <c r="B305" s="498" t="str">
        <f>Language!A719</f>
        <v>Estimación de costos de planificación y fiscalización [$$$/año]</v>
      </c>
      <c r="C305" s="786" t="e">
        <f t="shared" ref="C305:I305" si="134">C256*SUM(C290:C303)</f>
        <v>#DIV/0!</v>
      </c>
      <c r="D305" s="786" t="e">
        <f t="shared" si="134"/>
        <v>#DIV/0!</v>
      </c>
      <c r="E305" s="786" t="e">
        <f t="shared" si="134"/>
        <v>#DIV/0!</v>
      </c>
      <c r="F305" s="786" t="e">
        <f t="shared" si="134"/>
        <v>#DIV/0!</v>
      </c>
      <c r="G305" s="786" t="e">
        <f t="shared" si="134"/>
        <v>#DIV/0!</v>
      </c>
      <c r="H305" s="786" t="e">
        <f t="shared" si="134"/>
        <v>#DIV/0!</v>
      </c>
      <c r="I305" s="1073" t="e">
        <f t="shared" si="134"/>
        <v>#DIV/0!</v>
      </c>
      <c r="J305" s="1073"/>
      <c r="K305" s="1073"/>
      <c r="L305" s="1073"/>
      <c r="M305" s="1073" t="e">
        <f>M256*SUM(M290:M303)</f>
        <v>#DIV/0!</v>
      </c>
      <c r="N305" s="1073"/>
      <c r="O305" s="1073"/>
      <c r="P305" s="1073"/>
      <c r="Q305" s="548"/>
    </row>
    <row r="306" spans="1:20" x14ac:dyDescent="0.35">
      <c r="A306" s="299"/>
      <c r="B306" s="498" t="str">
        <f>Language!A720</f>
        <v>Costos administrativos [$$$/año]</v>
      </c>
      <c r="C306" s="786" t="e">
        <f t="shared" ref="C306:I306" si="135">C253*SUM(C290:C305)</f>
        <v>#DIV/0!</v>
      </c>
      <c r="D306" s="786" t="e">
        <f t="shared" si="135"/>
        <v>#DIV/0!</v>
      </c>
      <c r="E306" s="786" t="e">
        <f t="shared" si="135"/>
        <v>#DIV/0!</v>
      </c>
      <c r="F306" s="786" t="e">
        <f t="shared" si="135"/>
        <v>#DIV/0!</v>
      </c>
      <c r="G306" s="786" t="e">
        <f t="shared" si="135"/>
        <v>#DIV/0!</v>
      </c>
      <c r="H306" s="786" t="e">
        <f t="shared" si="135"/>
        <v>#DIV/0!</v>
      </c>
      <c r="I306" s="1062" t="e">
        <f t="shared" si="135"/>
        <v>#DIV/0!</v>
      </c>
      <c r="J306" s="1060"/>
      <c r="K306" s="1060"/>
      <c r="L306" s="1060"/>
      <c r="M306" s="1062" t="e">
        <f>M253*SUM(M290:M305)</f>
        <v>#DIV/0!</v>
      </c>
      <c r="N306" s="1060"/>
      <c r="O306" s="1060"/>
      <c r="P306" s="1060"/>
      <c r="Q306" s="548"/>
    </row>
    <row r="307" spans="1:20" ht="15" thickBot="1" x14ac:dyDescent="0.4">
      <c r="A307" s="299"/>
      <c r="B307" s="672" t="str">
        <f>Language!A721</f>
        <v>Costo anual total [$$$/año]</v>
      </c>
      <c r="C307" s="787" t="e">
        <f t="shared" ref="C307:I307" si="136">SUM(C290:C303)+C304+C305+C306</f>
        <v>#DIV/0!</v>
      </c>
      <c r="D307" s="787" t="e">
        <f t="shared" si="136"/>
        <v>#DIV/0!</v>
      </c>
      <c r="E307" s="787" t="e">
        <f t="shared" si="136"/>
        <v>#DIV/0!</v>
      </c>
      <c r="F307" s="787" t="e">
        <f t="shared" si="136"/>
        <v>#DIV/0!</v>
      </c>
      <c r="G307" s="787" t="e">
        <f t="shared" si="136"/>
        <v>#DIV/0!</v>
      </c>
      <c r="H307" s="787" t="e">
        <f t="shared" si="136"/>
        <v>#DIV/0!</v>
      </c>
      <c r="I307" s="1070" t="e">
        <f t="shared" si="136"/>
        <v>#DIV/0!</v>
      </c>
      <c r="J307" s="1070"/>
      <c r="K307" s="1070"/>
      <c r="L307" s="1070"/>
      <c r="M307" s="1070" t="e">
        <f>SUM(M290:M303)+M304+M305+M306</f>
        <v>#DIV/0!</v>
      </c>
      <c r="N307" s="1070"/>
      <c r="O307" s="1070"/>
      <c r="P307" s="1070"/>
      <c r="Q307" s="734"/>
      <c r="R307" s="772"/>
      <c r="S307" s="465"/>
    </row>
    <row r="308" spans="1:20" ht="15" thickBot="1" x14ac:dyDescent="0.4">
      <c r="A308" s="299"/>
      <c r="F308" s="665"/>
      <c r="G308" s="665"/>
      <c r="H308" s="665"/>
      <c r="I308" s="665"/>
      <c r="J308" s="665"/>
      <c r="K308" s="665"/>
      <c r="L308" s="665"/>
      <c r="M308" s="665"/>
      <c r="N308" s="665"/>
      <c r="O308" s="665"/>
      <c r="P308" s="665"/>
    </row>
    <row r="309" spans="1:20" x14ac:dyDescent="0.35">
      <c r="A309" s="299"/>
      <c r="B309" s="767" t="str">
        <f>Language!A722</f>
        <v>RESUMEN DATOS CLAVES</v>
      </c>
      <c r="C309" s="744"/>
      <c r="D309" s="744"/>
      <c r="E309" s="744"/>
      <c r="F309" s="788"/>
      <c r="G309" s="788"/>
      <c r="H309" s="788"/>
      <c r="I309" s="788"/>
      <c r="J309" s="788"/>
      <c r="K309" s="788"/>
      <c r="L309" s="788"/>
      <c r="M309" s="788"/>
      <c r="N309" s="788"/>
      <c r="O309" s="788"/>
      <c r="P309" s="788"/>
      <c r="Q309" s="495"/>
      <c r="S309" s="397"/>
      <c r="T309" s="397"/>
    </row>
    <row r="310" spans="1:20" x14ac:dyDescent="0.35">
      <c r="A310" s="299"/>
      <c r="B310" s="757" t="str">
        <f>Language!A723</f>
        <v>Costo anual total [$$$/año]</v>
      </c>
      <c r="C310" s="784" t="e">
        <f t="shared" ref="C310:I310" si="137">C307</f>
        <v>#DIV/0!</v>
      </c>
      <c r="D310" s="784" t="e">
        <f t="shared" si="137"/>
        <v>#DIV/0!</v>
      </c>
      <c r="E310" s="784" t="e">
        <f t="shared" si="137"/>
        <v>#DIV/0!</v>
      </c>
      <c r="F310" s="784" t="e">
        <f t="shared" si="137"/>
        <v>#DIV/0!</v>
      </c>
      <c r="G310" s="784" t="e">
        <f t="shared" si="137"/>
        <v>#DIV/0!</v>
      </c>
      <c r="H310" s="784" t="e">
        <f t="shared" si="137"/>
        <v>#DIV/0!</v>
      </c>
      <c r="I310" s="1060" t="e">
        <f t="shared" si="137"/>
        <v>#DIV/0!</v>
      </c>
      <c r="J310" s="1060"/>
      <c r="K310" s="1060"/>
      <c r="L310" s="1060"/>
      <c r="M310" s="1060" t="e">
        <f>M307</f>
        <v>#DIV/0!</v>
      </c>
      <c r="N310" s="1060"/>
      <c r="O310" s="1060"/>
      <c r="P310" s="1060"/>
      <c r="Q310" s="548"/>
    </row>
    <row r="311" spans="1:20" x14ac:dyDescent="0.35">
      <c r="A311" s="299"/>
      <c r="B311" s="757" t="str">
        <f>Language!A724</f>
        <v>Toneladas anuales depositadas en sitio de disposición final [ton/año]</v>
      </c>
      <c r="C311" s="758">
        <f t="shared" ref="C311:H311" si="138">C232</f>
        <v>0</v>
      </c>
      <c r="D311" s="758">
        <f t="shared" si="138"/>
        <v>0</v>
      </c>
      <c r="E311" s="758">
        <f t="shared" si="138"/>
        <v>0</v>
      </c>
      <c r="F311" s="758">
        <f t="shared" si="138"/>
        <v>0</v>
      </c>
      <c r="G311" s="758">
        <f t="shared" si="138"/>
        <v>0</v>
      </c>
      <c r="H311" s="758">
        <f t="shared" si="138"/>
        <v>0</v>
      </c>
      <c r="I311" s="1071">
        <f>I232+K249</f>
        <v>0</v>
      </c>
      <c r="J311" s="1071"/>
      <c r="K311" s="1071"/>
      <c r="L311" s="1071"/>
      <c r="M311" s="1071">
        <f>M232+O249</f>
        <v>0</v>
      </c>
      <c r="N311" s="1071"/>
      <c r="O311" s="1071"/>
      <c r="P311" s="1071"/>
      <c r="Q311" s="548"/>
    </row>
    <row r="312" spans="1:20" x14ac:dyDescent="0.35">
      <c r="A312" s="299"/>
      <c r="B312" s="757" t="str">
        <f>Language!A725</f>
        <v>Toneladas anuales de residuos orgánicos gestionados de forma diferenciada [ton/año]</v>
      </c>
      <c r="C312" s="748">
        <v>0</v>
      </c>
      <c r="D312" s="748">
        <v>0</v>
      </c>
      <c r="E312" s="748">
        <v>0</v>
      </c>
      <c r="F312" s="748">
        <v>0</v>
      </c>
      <c r="G312" s="748">
        <v>0</v>
      </c>
      <c r="H312" s="748">
        <v>0</v>
      </c>
      <c r="I312" s="1071">
        <f>L238</f>
        <v>0</v>
      </c>
      <c r="J312" s="1071"/>
      <c r="K312" s="1071"/>
      <c r="L312" s="1071"/>
      <c r="M312" s="1071">
        <f>P238</f>
        <v>0</v>
      </c>
      <c r="N312" s="1071"/>
      <c r="O312" s="1071"/>
      <c r="P312" s="1071"/>
      <c r="Q312" s="548"/>
    </row>
    <row r="313" spans="1:20" x14ac:dyDescent="0.35">
      <c r="A313" s="299"/>
      <c r="B313" s="757" t="str">
        <f>Language!A726</f>
        <v>Toneladas anuales de reciclables gestionados de forma diferenciada [ton/año]</v>
      </c>
      <c r="C313" s="748">
        <v>0</v>
      </c>
      <c r="D313" s="748">
        <v>0</v>
      </c>
      <c r="E313" s="748">
        <v>0</v>
      </c>
      <c r="F313" s="748">
        <v>0</v>
      </c>
      <c r="G313" s="748">
        <v>0</v>
      </c>
      <c r="H313" s="748">
        <v>0</v>
      </c>
      <c r="I313" s="1071">
        <f>K248</f>
        <v>0</v>
      </c>
      <c r="J313" s="1071"/>
      <c r="K313" s="1071"/>
      <c r="L313" s="1071"/>
      <c r="M313" s="1071">
        <f>O248</f>
        <v>0</v>
      </c>
      <c r="N313" s="1071"/>
      <c r="O313" s="1071"/>
      <c r="P313" s="1071"/>
      <c r="Q313" s="548"/>
    </row>
    <row r="314" spans="1:20" ht="15" thickBot="1" x14ac:dyDescent="0.4">
      <c r="A314" s="299"/>
      <c r="B314" s="672" t="str">
        <f>Language!A727</f>
        <v>Consumo de combustible [L/año]</v>
      </c>
      <c r="C314" s="724" t="e">
        <f>52*(SUM(C201:C203)*'3) Parametros_modelo'!$C$43+'3) Parametros_modelo'!$C$44*C204)</f>
        <v>#DIV/0!</v>
      </c>
      <c r="D314" s="724" t="e">
        <f>52*(SUM(D201:D203)*'3) Parametros_modelo'!$C$43+'3) Parametros_modelo'!$C$44*D204)</f>
        <v>#DIV/0!</v>
      </c>
      <c r="E314" s="724" t="e">
        <f>52*(SUM(E201:E203)*'3) Parametros_modelo'!$C$43+'3) Parametros_modelo'!$C$44*E204)</f>
        <v>#DIV/0!</v>
      </c>
      <c r="F314" s="724" t="e">
        <f>52*(SUM(F201:F203)*'3) Parametros_modelo'!C43+'3) Parametros_modelo'!C44*'5) Calculos'!F204)</f>
        <v>#DIV/0!</v>
      </c>
      <c r="G314" s="724" t="e">
        <f>52*(SUM(G201:G203)*'3) Parametros_modelo'!$C$43+'3) Parametros_modelo'!$C$44*G204)</f>
        <v>#DIV/0!</v>
      </c>
      <c r="H314" s="724" t="e">
        <f>52*(SUM(H201:H203)*'3) Parametros_modelo'!$C$43+'3) Parametros_modelo'!$C$44*H204)</f>
        <v>#DIV/0!</v>
      </c>
      <c r="I314" s="1072" t="e">
        <f>52*(SUM(I201:I203)*'3) Parametros_modelo'!$C$43+'3) Parametros_modelo'!$C$44*I204)</f>
        <v>#DIV/0!</v>
      </c>
      <c r="J314" s="1072"/>
      <c r="K314" s="1072"/>
      <c r="L314" s="1072"/>
      <c r="M314" s="1072" t="e">
        <f>52*(SUM(M201:M203)*'3) Parametros_modelo'!$C$43+'3) Parametros_modelo'!$C$44*M204)</f>
        <v>#DIV/0!</v>
      </c>
      <c r="N314" s="1072"/>
      <c r="O314" s="1072"/>
      <c r="P314" s="1072"/>
      <c r="Q314" s="734"/>
      <c r="S314" s="397"/>
      <c r="T314" s="397" t="s">
        <v>86</v>
      </c>
    </row>
    <row r="315" spans="1:20" ht="15" thickBot="1" x14ac:dyDescent="0.4">
      <c r="A315" s="299"/>
      <c r="B315" s="739"/>
      <c r="C315" s="789"/>
      <c r="D315" s="789"/>
      <c r="E315" s="789"/>
      <c r="F315" s="789"/>
      <c r="G315" s="789"/>
      <c r="H315" s="789"/>
      <c r="I315" s="789"/>
      <c r="J315" s="789"/>
      <c r="K315" s="789"/>
      <c r="L315" s="789"/>
      <c r="M315" s="789"/>
      <c r="N315" s="789"/>
      <c r="O315" s="789"/>
      <c r="P315" s="789"/>
      <c r="S315" s="397"/>
      <c r="T315" s="397"/>
    </row>
    <row r="316" spans="1:20" x14ac:dyDescent="0.35">
      <c r="A316" s="299"/>
      <c r="B316" s="767" t="str">
        <f>Language!A728</f>
        <v>Distribución costos recolección y transporte (recolección segundaria)</v>
      </c>
      <c r="C316" s="744"/>
      <c r="D316" s="744"/>
      <c r="E316" s="744"/>
      <c r="F316" s="788"/>
      <c r="G316" s="788"/>
      <c r="H316" s="788"/>
      <c r="I316" s="788"/>
      <c r="J316" s="788"/>
      <c r="K316" s="788"/>
      <c r="L316" s="788"/>
      <c r="M316" s="788"/>
      <c r="N316" s="788"/>
      <c r="O316" s="788"/>
      <c r="P316" s="788"/>
      <c r="Q316" s="495"/>
      <c r="S316" s="397"/>
      <c r="T316" s="397"/>
    </row>
    <row r="317" spans="1:20" x14ac:dyDescent="0.35">
      <c r="A317" s="299"/>
      <c r="B317" s="546" t="str">
        <f>Language!A729</f>
        <v>Recolección</v>
      </c>
      <c r="C317" s="784"/>
      <c r="D317" s="784"/>
      <c r="E317" s="784"/>
      <c r="F317" s="784"/>
      <c r="G317" s="784"/>
      <c r="H317" s="784"/>
      <c r="I317" s="790"/>
      <c r="J317" s="790"/>
      <c r="K317" s="790"/>
      <c r="L317" s="790"/>
      <c r="M317" s="790"/>
      <c r="N317" s="790"/>
      <c r="O317" s="790"/>
      <c r="P317" s="790"/>
      <c r="Q317" s="548"/>
      <c r="S317" s="397"/>
      <c r="T317" s="397"/>
    </row>
    <row r="318" spans="1:20" x14ac:dyDescent="0.35">
      <c r="A318" s="299"/>
      <c r="B318" s="757" t="str">
        <f>Language!A730</f>
        <v>Personal</v>
      </c>
      <c r="C318" s="791" t="e">
        <f>(C186*('3) Parametros_modelo'!$C$98+'3) Parametros_modelo'!$C$101)+C188*('3) Parametros_modelo'!$C$99+'3) Parametros_modelo'!$C$102))</f>
        <v>#DIV/0!</v>
      </c>
      <c r="D318" s="791" t="e">
        <f>(D186*('3) Parametros_modelo'!$C$98+'3) Parametros_modelo'!$C$101)+D188*('3) Parametros_modelo'!$C$99+'3) Parametros_modelo'!$C$102))</f>
        <v>#DIV/0!</v>
      </c>
      <c r="E318" s="791" t="e">
        <f>(E186*('3) Parametros_modelo'!$C$98+'3) Parametros_modelo'!$C$101)+E188*('3) Parametros_modelo'!$C$99+'3) Parametros_modelo'!$C$102))</f>
        <v>#DIV/0!</v>
      </c>
      <c r="F318" s="791" t="e">
        <f>(F186*('3) Parametros_modelo'!$C$98+'3) Parametros_modelo'!$C$101)+F188*('3) Parametros_modelo'!$C$99+'3) Parametros_modelo'!$C$102))</f>
        <v>#DIV/0!</v>
      </c>
      <c r="G318" s="791" t="e">
        <f>(G186*('3) Parametros_modelo'!$C$98+'3) Parametros_modelo'!$C$101)+G188*('3) Parametros_modelo'!$C$99+'3) Parametros_modelo'!$C$102))</f>
        <v>#DIV/0!</v>
      </c>
      <c r="H318" s="791" t="e">
        <f>(H186*('3) Parametros_modelo'!$C$98+'3) Parametros_modelo'!$C$101)+H188*('3) Parametros_modelo'!$C$99+'3) Parametros_modelo'!$C$102))</f>
        <v>#DIV/0!</v>
      </c>
      <c r="I318" s="791" t="e">
        <f>(I186*('3) Parametros_modelo'!$C$98+'3) Parametros_modelo'!$C$101)+I188*('3) Parametros_modelo'!$C$99+'3) Parametros_modelo'!$C$102))</f>
        <v>#DIV/0!</v>
      </c>
      <c r="J318" s="791"/>
      <c r="K318" s="791"/>
      <c r="L318" s="791"/>
      <c r="M318" s="791" t="e">
        <f>(M186*('3) Parametros_modelo'!$C$98+'3) Parametros_modelo'!$C$101)+M188*('3) Parametros_modelo'!$C$99+'3) Parametros_modelo'!$C$102))</f>
        <v>#DIV/0!</v>
      </c>
      <c r="N318" s="784"/>
      <c r="O318" s="784"/>
      <c r="P318" s="784"/>
      <c r="Q318" s="792"/>
      <c r="S318" s="397"/>
      <c r="T318" s="397"/>
    </row>
    <row r="319" spans="1:20" x14ac:dyDescent="0.35">
      <c r="A319" s="299"/>
      <c r="B319" s="757" t="str">
        <f>Language!A731</f>
        <v>Camiones</v>
      </c>
      <c r="C319" s="791" t="e">
        <f t="shared" ref="C319:I319" si="139">C217</f>
        <v>#DIV/0!</v>
      </c>
      <c r="D319" s="791" t="e">
        <f t="shared" si="139"/>
        <v>#DIV/0!</v>
      </c>
      <c r="E319" s="791" t="e">
        <f t="shared" si="139"/>
        <v>#DIV/0!</v>
      </c>
      <c r="F319" s="791" t="e">
        <f t="shared" si="139"/>
        <v>#DIV/0!</v>
      </c>
      <c r="G319" s="791" t="e">
        <f t="shared" si="139"/>
        <v>#DIV/0!</v>
      </c>
      <c r="H319" s="791" t="e">
        <f t="shared" si="139"/>
        <v>#DIV/0!</v>
      </c>
      <c r="I319" s="791" t="e">
        <f t="shared" si="139"/>
        <v>#DIV/0!</v>
      </c>
      <c r="J319" s="791"/>
      <c r="K319" s="791"/>
      <c r="L319" s="791"/>
      <c r="M319" s="791" t="e">
        <f>M217</f>
        <v>#DIV/0!</v>
      </c>
      <c r="N319" s="784"/>
      <c r="O319" s="784"/>
      <c r="P319" s="784"/>
      <c r="Q319" s="792"/>
      <c r="S319" s="397"/>
      <c r="T319" s="397"/>
    </row>
    <row r="320" spans="1:20" x14ac:dyDescent="0.35">
      <c r="A320" s="299"/>
      <c r="B320" s="757" t="str">
        <f>Language!A732</f>
        <v>Mantenimiento vehículos</v>
      </c>
      <c r="C320" s="791" t="e">
        <f t="shared" ref="C320:I320" si="140">C157</f>
        <v>#DIV/0!</v>
      </c>
      <c r="D320" s="791" t="e">
        <f t="shared" si="140"/>
        <v>#DIV/0!</v>
      </c>
      <c r="E320" s="791" t="e">
        <f t="shared" si="140"/>
        <v>#DIV/0!</v>
      </c>
      <c r="F320" s="791" t="e">
        <f t="shared" si="140"/>
        <v>#DIV/0!</v>
      </c>
      <c r="G320" s="791" t="e">
        <f t="shared" si="140"/>
        <v>#DIV/0!</v>
      </c>
      <c r="H320" s="791" t="e">
        <f t="shared" si="140"/>
        <v>#DIV/0!</v>
      </c>
      <c r="I320" s="791" t="e">
        <f t="shared" si="140"/>
        <v>#DIV/0!</v>
      </c>
      <c r="J320" s="791"/>
      <c r="K320" s="791"/>
      <c r="L320" s="791"/>
      <c r="M320" s="791" t="e">
        <f>M157</f>
        <v>#DIV/0!</v>
      </c>
      <c r="N320" s="784"/>
      <c r="O320" s="784"/>
      <c r="P320" s="784"/>
      <c r="Q320" s="792"/>
      <c r="S320" s="397"/>
      <c r="T320" s="397"/>
    </row>
    <row r="321" spans="1:20" x14ac:dyDescent="0.35">
      <c r="A321" s="299"/>
      <c r="B321" s="757" t="str">
        <f>Language!A733</f>
        <v>Seguro de vehículos</v>
      </c>
      <c r="C321" s="791" t="e">
        <f t="shared" ref="C321:I321" si="141">C156</f>
        <v>#DIV/0!</v>
      </c>
      <c r="D321" s="791" t="e">
        <f t="shared" si="141"/>
        <v>#DIV/0!</v>
      </c>
      <c r="E321" s="791" t="e">
        <f t="shared" si="141"/>
        <v>#DIV/0!</v>
      </c>
      <c r="F321" s="791" t="e">
        <f t="shared" si="141"/>
        <v>#DIV/0!</v>
      </c>
      <c r="G321" s="791" t="e">
        <f t="shared" si="141"/>
        <v>#DIV/0!</v>
      </c>
      <c r="H321" s="791" t="e">
        <f t="shared" si="141"/>
        <v>#DIV/0!</v>
      </c>
      <c r="I321" s="791" t="e">
        <f t="shared" si="141"/>
        <v>#DIV/0!</v>
      </c>
      <c r="J321" s="791"/>
      <c r="K321" s="791"/>
      <c r="L321" s="791"/>
      <c r="M321" s="791" t="e">
        <f>M156</f>
        <v>#DIV/0!</v>
      </c>
      <c r="N321" s="784"/>
      <c r="O321" s="784"/>
      <c r="P321" s="784"/>
      <c r="Q321" s="792"/>
      <c r="S321" s="397"/>
      <c r="T321" s="397"/>
    </row>
    <row r="322" spans="1:20" x14ac:dyDescent="0.35">
      <c r="A322" s="299"/>
      <c r="B322" s="757" t="str">
        <f>Language!A734</f>
        <v>Combustible</v>
      </c>
      <c r="C322" s="791" t="e">
        <f>C210</f>
        <v>#DIV/0!</v>
      </c>
      <c r="D322" s="791" t="e">
        <f>D208</f>
        <v>#DIV/0!</v>
      </c>
      <c r="E322" s="791" t="e">
        <f>E210</f>
        <v>#DIV/0!</v>
      </c>
      <c r="F322" s="791" t="e">
        <f>F208</f>
        <v>#DIV/0!</v>
      </c>
      <c r="G322" s="791" t="e">
        <f>G210</f>
        <v>#DIV/0!</v>
      </c>
      <c r="H322" s="791" t="e">
        <f>H208</f>
        <v>#DIV/0!</v>
      </c>
      <c r="I322" s="791" t="e">
        <f>I210</f>
        <v>#DIV/0!</v>
      </c>
      <c r="J322" s="791"/>
      <c r="K322" s="791"/>
      <c r="L322" s="791"/>
      <c r="M322" s="791" t="e">
        <f>M208</f>
        <v>#DIV/0!</v>
      </c>
      <c r="N322" s="784"/>
      <c r="O322" s="784"/>
      <c r="P322" s="784"/>
      <c r="Q322" s="792"/>
      <c r="S322" s="397"/>
      <c r="T322" s="397"/>
    </row>
    <row r="323" spans="1:20" x14ac:dyDescent="0.35">
      <c r="A323" s="299"/>
      <c r="B323" s="546" t="str">
        <f>Language!A735</f>
        <v>Total recolección</v>
      </c>
      <c r="C323" s="791" t="e">
        <f>SUM(C318:C322)</f>
        <v>#DIV/0!</v>
      </c>
      <c r="D323" s="791" t="e">
        <f>SUM(D318:D322)</f>
        <v>#DIV/0!</v>
      </c>
      <c r="E323" s="791" t="e">
        <f t="shared" ref="E323:I323" si="142">SUM(E318:E322)</f>
        <v>#DIV/0!</v>
      </c>
      <c r="F323" s="791" t="e">
        <f t="shared" si="142"/>
        <v>#DIV/0!</v>
      </c>
      <c r="G323" s="791" t="e">
        <f t="shared" si="142"/>
        <v>#DIV/0!</v>
      </c>
      <c r="H323" s="791" t="e">
        <f t="shared" si="142"/>
        <v>#DIV/0!</v>
      </c>
      <c r="I323" s="791" t="e">
        <f t="shared" si="142"/>
        <v>#DIV/0!</v>
      </c>
      <c r="J323" s="791"/>
      <c r="K323" s="791"/>
      <c r="L323" s="791"/>
      <c r="M323" s="791" t="e">
        <f t="shared" ref="M323" si="143">SUM(M318:M322)</f>
        <v>#DIV/0!</v>
      </c>
      <c r="N323" s="784"/>
      <c r="O323" s="784"/>
      <c r="P323" s="784"/>
      <c r="Q323" s="792"/>
      <c r="S323" s="397"/>
      <c r="T323" s="397"/>
    </row>
    <row r="324" spans="1:20" x14ac:dyDescent="0.35">
      <c r="A324" s="299"/>
      <c r="B324" s="793"/>
      <c r="C324" s="794"/>
      <c r="D324" s="794"/>
      <c r="E324" s="794"/>
      <c r="F324" s="794"/>
      <c r="G324" s="794"/>
      <c r="H324" s="794"/>
      <c r="I324" s="794"/>
      <c r="J324" s="794"/>
      <c r="K324" s="794"/>
      <c r="L324" s="794"/>
      <c r="M324" s="794"/>
      <c r="N324" s="795"/>
      <c r="O324" s="795"/>
      <c r="P324" s="795"/>
      <c r="Q324" s="796"/>
      <c r="S324" s="397"/>
      <c r="T324" s="397"/>
    </row>
    <row r="325" spans="1:20" x14ac:dyDescent="0.35">
      <c r="A325" s="299"/>
      <c r="B325" s="546" t="str">
        <f>Language!A736</f>
        <v>Transporte</v>
      </c>
      <c r="C325" s="791"/>
      <c r="D325" s="791"/>
      <c r="E325" s="791"/>
      <c r="F325" s="791"/>
      <c r="G325" s="791"/>
      <c r="H325" s="791"/>
      <c r="I325" s="791"/>
      <c r="J325" s="791"/>
      <c r="K325" s="791"/>
      <c r="L325" s="791"/>
      <c r="M325" s="791"/>
      <c r="N325" s="784"/>
      <c r="O325" s="784"/>
      <c r="P325" s="784"/>
      <c r="Q325" s="792"/>
      <c r="S325" s="397"/>
      <c r="T325" s="397"/>
    </row>
    <row r="326" spans="1:20" x14ac:dyDescent="0.35">
      <c r="A326" s="299"/>
      <c r="B326" s="757" t="str">
        <f>Language!A737</f>
        <v>Personal</v>
      </c>
      <c r="C326" s="791" t="e">
        <f>C189*('3) Parametros_modelo'!$C$98+'3) Parametros_modelo'!$C$101)+C191*('3) Parametros_modelo'!$C$99+'3) Parametros_modelo'!$C$102)+C197</f>
        <v>#DIV/0!</v>
      </c>
      <c r="D326" s="791" t="e">
        <f>D189*('3) Parametros_modelo'!$C$98+'3) Parametros_modelo'!$C$101)+D191*('3) Parametros_modelo'!$C$99+'3) Parametros_modelo'!$C$102)+D197</f>
        <v>#DIV/0!</v>
      </c>
      <c r="E326" s="791" t="e">
        <f>E189*('3) Parametros_modelo'!$C$98+'3) Parametros_modelo'!$C$101)+E191*('3) Parametros_modelo'!$C$99+'3) Parametros_modelo'!$C$102)+E197</f>
        <v>#DIV/0!</v>
      </c>
      <c r="F326" s="791" t="e">
        <f>F189*('3) Parametros_modelo'!$C$98+'3) Parametros_modelo'!$C$101)+F191*('3) Parametros_modelo'!$C$99+'3) Parametros_modelo'!$C$102)+F197</f>
        <v>#DIV/0!</v>
      </c>
      <c r="G326" s="791" t="e">
        <f>G189*('3) Parametros_modelo'!$C$98+'3) Parametros_modelo'!$C$101)+G191*('3) Parametros_modelo'!$C$99+'3) Parametros_modelo'!$C$102)+G197</f>
        <v>#DIV/0!</v>
      </c>
      <c r="H326" s="791" t="e">
        <f>H189*('3) Parametros_modelo'!$C$98+'3) Parametros_modelo'!$C$101)+H191*('3) Parametros_modelo'!$C$99+'3) Parametros_modelo'!$C$102)+H197</f>
        <v>#DIV/0!</v>
      </c>
      <c r="I326" s="791" t="e">
        <f>I189*('3) Parametros_modelo'!$C$98+'3) Parametros_modelo'!$C$101)+I191*('3) Parametros_modelo'!$C$99+'3) Parametros_modelo'!$C$102)+I197</f>
        <v>#DIV/0!</v>
      </c>
      <c r="J326" s="791"/>
      <c r="K326" s="791"/>
      <c r="L326" s="791"/>
      <c r="M326" s="791" t="e">
        <f>M189*('3) Parametros_modelo'!$C$98+'3) Parametros_modelo'!$C$101)+M191*('3) Parametros_modelo'!$C$99+'3) Parametros_modelo'!$C$102)+M197</f>
        <v>#DIV/0!</v>
      </c>
      <c r="N326" s="784"/>
      <c r="O326" s="784"/>
      <c r="P326" s="784"/>
      <c r="Q326" s="792"/>
      <c r="S326" s="397"/>
      <c r="T326" s="397"/>
    </row>
    <row r="327" spans="1:20" x14ac:dyDescent="0.35">
      <c r="A327" s="299"/>
      <c r="B327" s="757" t="str">
        <f>Language!A738</f>
        <v>Camiones</v>
      </c>
      <c r="C327" s="791" t="e">
        <f t="shared" ref="C327:I327" si="144">C219</f>
        <v>#DIV/0!</v>
      </c>
      <c r="D327" s="791" t="e">
        <f t="shared" si="144"/>
        <v>#DIV/0!</v>
      </c>
      <c r="E327" s="791" t="e">
        <f t="shared" si="144"/>
        <v>#DIV/0!</v>
      </c>
      <c r="F327" s="791" t="e">
        <f t="shared" si="144"/>
        <v>#DIV/0!</v>
      </c>
      <c r="G327" s="791" t="e">
        <f t="shared" si="144"/>
        <v>#DIV/0!</v>
      </c>
      <c r="H327" s="791" t="e">
        <f t="shared" si="144"/>
        <v>#DIV/0!</v>
      </c>
      <c r="I327" s="791" t="e">
        <f t="shared" si="144"/>
        <v>#DIV/0!</v>
      </c>
      <c r="J327" s="791"/>
      <c r="K327" s="791"/>
      <c r="L327" s="791"/>
      <c r="M327" s="791" t="e">
        <f>M219</f>
        <v>#DIV/0!</v>
      </c>
      <c r="N327" s="784"/>
      <c r="O327" s="784"/>
      <c r="P327" s="784"/>
      <c r="Q327" s="792"/>
      <c r="S327" s="397"/>
      <c r="T327" s="397"/>
    </row>
    <row r="328" spans="1:20" x14ac:dyDescent="0.35">
      <c r="A328" s="299"/>
      <c r="B328" s="757" t="str">
        <f>Language!A739</f>
        <v>Mantenimiento vehículos</v>
      </c>
      <c r="C328" s="797" t="e">
        <f t="shared" ref="C328:I328" si="145">C179</f>
        <v>#DIV/0!</v>
      </c>
      <c r="D328" s="797" t="e">
        <f t="shared" si="145"/>
        <v>#DIV/0!</v>
      </c>
      <c r="E328" s="797" t="e">
        <f t="shared" si="145"/>
        <v>#DIV/0!</v>
      </c>
      <c r="F328" s="797" t="e">
        <f t="shared" si="145"/>
        <v>#DIV/0!</v>
      </c>
      <c r="G328" s="797" t="e">
        <f t="shared" si="145"/>
        <v>#DIV/0!</v>
      </c>
      <c r="H328" s="797" t="e">
        <f t="shared" si="145"/>
        <v>#DIV/0!</v>
      </c>
      <c r="I328" s="797" t="e">
        <f t="shared" si="145"/>
        <v>#DIV/0!</v>
      </c>
      <c r="J328" s="797"/>
      <c r="K328" s="797"/>
      <c r="L328" s="797"/>
      <c r="M328" s="797" t="e">
        <f>M179</f>
        <v>#DIV/0!</v>
      </c>
      <c r="N328" s="711"/>
      <c r="O328" s="711"/>
      <c r="P328" s="711"/>
      <c r="Q328" s="717"/>
      <c r="S328" s="397"/>
      <c r="T328" s="397"/>
    </row>
    <row r="329" spans="1:20" x14ac:dyDescent="0.35">
      <c r="A329" s="299"/>
      <c r="B329" s="757" t="str">
        <f>Language!A740</f>
        <v>Seguro de vehículos</v>
      </c>
      <c r="C329" s="797" t="e">
        <f t="shared" ref="C329:I329" si="146">C178</f>
        <v>#DIV/0!</v>
      </c>
      <c r="D329" s="797" t="e">
        <f t="shared" si="146"/>
        <v>#DIV/0!</v>
      </c>
      <c r="E329" s="797" t="e">
        <f t="shared" si="146"/>
        <v>#DIV/0!</v>
      </c>
      <c r="F329" s="797" t="e">
        <f t="shared" si="146"/>
        <v>#DIV/0!</v>
      </c>
      <c r="G329" s="797" t="e">
        <f t="shared" si="146"/>
        <v>#DIV/0!</v>
      </c>
      <c r="H329" s="797" t="e">
        <f t="shared" si="146"/>
        <v>#DIV/0!</v>
      </c>
      <c r="I329" s="797" t="e">
        <f t="shared" si="146"/>
        <v>#DIV/0!</v>
      </c>
      <c r="J329" s="797"/>
      <c r="K329" s="797"/>
      <c r="L329" s="797"/>
      <c r="M329" s="797" t="e">
        <f>M178</f>
        <v>#DIV/0!</v>
      </c>
      <c r="N329" s="711"/>
      <c r="O329" s="711"/>
      <c r="P329" s="711"/>
      <c r="Q329" s="717"/>
      <c r="S329" s="397"/>
      <c r="T329" s="397"/>
    </row>
    <row r="330" spans="1:20" x14ac:dyDescent="0.35">
      <c r="A330" s="299"/>
      <c r="B330" s="757" t="str">
        <f>Language!A741</f>
        <v>Combustible</v>
      </c>
      <c r="C330" s="797">
        <v>0</v>
      </c>
      <c r="D330" s="797" t="e">
        <f>D209</f>
        <v>#DIV/0!</v>
      </c>
      <c r="E330" s="797">
        <v>0</v>
      </c>
      <c r="F330" s="797" t="e">
        <f>F209</f>
        <v>#DIV/0!</v>
      </c>
      <c r="G330" s="797">
        <v>0</v>
      </c>
      <c r="H330" s="797" t="e">
        <f>H209</f>
        <v>#DIV/0!</v>
      </c>
      <c r="I330" s="797">
        <v>0</v>
      </c>
      <c r="J330" s="797"/>
      <c r="K330" s="797"/>
      <c r="L330" s="797"/>
      <c r="M330" s="797" t="e">
        <f>M209</f>
        <v>#DIV/0!</v>
      </c>
      <c r="N330" s="711"/>
      <c r="O330" s="711"/>
      <c r="P330" s="711"/>
      <c r="Q330" s="717"/>
      <c r="S330" s="397"/>
      <c r="T330" s="397"/>
    </row>
    <row r="331" spans="1:20" x14ac:dyDescent="0.35">
      <c r="A331" s="299"/>
      <c r="B331" s="757" t="str">
        <f>Language!A742</f>
        <v>Estación de transferencia</v>
      </c>
      <c r="C331" s="797">
        <f t="shared" ref="C331:I331" si="147">C216</f>
        <v>0</v>
      </c>
      <c r="D331" s="797">
        <f t="shared" si="147"/>
        <v>8024.2587190691311</v>
      </c>
      <c r="E331" s="797">
        <f t="shared" si="147"/>
        <v>0</v>
      </c>
      <c r="F331" s="797">
        <f t="shared" si="147"/>
        <v>8024.2587190691311</v>
      </c>
      <c r="G331" s="797">
        <f t="shared" si="147"/>
        <v>0</v>
      </c>
      <c r="H331" s="797">
        <f t="shared" si="147"/>
        <v>8024.2587190691311</v>
      </c>
      <c r="I331" s="797">
        <f t="shared" si="147"/>
        <v>0</v>
      </c>
      <c r="J331" s="797"/>
      <c r="K331" s="797"/>
      <c r="L331" s="797"/>
      <c r="M331" s="797">
        <f>M216</f>
        <v>8024.2587190691311</v>
      </c>
      <c r="N331" s="797"/>
      <c r="O331" s="797"/>
      <c r="P331" s="797"/>
      <c r="Q331" s="798"/>
      <c r="S331" s="397"/>
      <c r="T331" s="397"/>
    </row>
    <row r="332" spans="1:20" ht="15" thickBot="1" x14ac:dyDescent="0.4">
      <c r="A332" s="299"/>
      <c r="B332" s="799" t="str">
        <f>Language!A743</f>
        <v>Total transporte</v>
      </c>
      <c r="C332" s="800" t="e">
        <f>SUM(C326:C331)</f>
        <v>#DIV/0!</v>
      </c>
      <c r="D332" s="800" t="e">
        <f>SUM(D326:D331)</f>
        <v>#DIV/0!</v>
      </c>
      <c r="E332" s="800" t="e">
        <f t="shared" ref="E332:I332" si="148">SUM(E326:E331)</f>
        <v>#DIV/0!</v>
      </c>
      <c r="F332" s="800" t="e">
        <f t="shared" si="148"/>
        <v>#DIV/0!</v>
      </c>
      <c r="G332" s="800" t="e">
        <f t="shared" si="148"/>
        <v>#DIV/0!</v>
      </c>
      <c r="H332" s="800" t="e">
        <f t="shared" si="148"/>
        <v>#DIV/0!</v>
      </c>
      <c r="I332" s="800" t="e">
        <f t="shared" si="148"/>
        <v>#DIV/0!</v>
      </c>
      <c r="J332" s="800"/>
      <c r="K332" s="800"/>
      <c r="L332" s="800"/>
      <c r="M332" s="800" t="e">
        <f t="shared" ref="M332" si="149">SUM(M326:M331)</f>
        <v>#DIV/0!</v>
      </c>
      <c r="N332" s="800"/>
      <c r="O332" s="800"/>
      <c r="P332" s="800"/>
      <c r="Q332" s="801"/>
      <c r="S332" s="397"/>
      <c r="T332" s="397"/>
    </row>
    <row r="333" spans="1:20" x14ac:dyDescent="0.35">
      <c r="A333" s="299"/>
      <c r="C333" s="772"/>
      <c r="D333" s="772"/>
      <c r="E333" s="772"/>
      <c r="F333" s="772"/>
      <c r="G333" s="772"/>
      <c r="H333" s="772"/>
      <c r="I333" s="772"/>
      <c r="J333" s="772"/>
      <c r="K333" s="772"/>
      <c r="L333" s="772"/>
      <c r="M333" s="772"/>
      <c r="N333" s="772"/>
      <c r="O333" s="772"/>
      <c r="P333" s="772"/>
      <c r="Q333" s="772"/>
    </row>
    <row r="334" spans="1:20" s="802" customFormat="1" hidden="1" x14ac:dyDescent="0.35">
      <c r="B334" s="339"/>
      <c r="C334" s="339"/>
      <c r="D334" s="339"/>
      <c r="E334" s="339"/>
      <c r="F334" s="339"/>
      <c r="G334" s="339"/>
      <c r="H334" s="339"/>
      <c r="I334" s="339"/>
      <c r="J334" s="339"/>
      <c r="K334" s="339"/>
      <c r="L334" s="339"/>
      <c r="M334" s="339"/>
      <c r="N334" s="339"/>
      <c r="O334" s="339"/>
      <c r="P334" s="339"/>
      <c r="Q334" s="339"/>
      <c r="R334" s="339"/>
    </row>
    <row r="335" spans="1:20" s="802" customFormat="1" hidden="1" x14ac:dyDescent="0.35">
      <c r="B335" s="339"/>
      <c r="C335" s="339"/>
      <c r="D335" s="339"/>
      <c r="E335" s="339"/>
      <c r="F335" s="339"/>
      <c r="G335" s="339"/>
      <c r="H335" s="339"/>
      <c r="I335" s="339"/>
      <c r="J335" s="339"/>
      <c r="K335" s="339"/>
      <c r="L335" s="339"/>
      <c r="M335" s="339"/>
      <c r="N335" s="339"/>
      <c r="O335" s="339"/>
      <c r="P335" s="339"/>
      <c r="Q335" s="339"/>
      <c r="R335" s="339"/>
    </row>
    <row r="336" spans="1:20" s="802" customFormat="1" hidden="1" x14ac:dyDescent="0.35">
      <c r="B336" s="339"/>
      <c r="C336" s="339"/>
      <c r="D336" s="339"/>
      <c r="E336" s="339"/>
      <c r="F336" s="339"/>
      <c r="G336" s="339"/>
      <c r="H336" s="339"/>
      <c r="I336" s="339"/>
      <c r="J336" s="339"/>
      <c r="K336" s="339"/>
      <c r="L336" s="339"/>
      <c r="M336" s="339"/>
      <c r="N336" s="339"/>
      <c r="O336" s="339"/>
      <c r="P336" s="339"/>
      <c r="Q336" s="339"/>
      <c r="R336" s="339"/>
    </row>
    <row r="337" spans="2:18" s="802" customFormat="1" hidden="1" x14ac:dyDescent="0.35">
      <c r="B337" s="339"/>
      <c r="C337" s="339"/>
      <c r="D337" s="339"/>
      <c r="E337" s="339"/>
      <c r="F337" s="339"/>
      <c r="G337" s="339"/>
      <c r="H337" s="339"/>
      <c r="I337" s="339"/>
      <c r="J337" s="339"/>
      <c r="K337" s="339"/>
      <c r="L337" s="339"/>
      <c r="M337" s="339"/>
      <c r="N337" s="339"/>
      <c r="O337" s="339"/>
      <c r="P337" s="339"/>
      <c r="Q337" s="339"/>
      <c r="R337" s="339"/>
    </row>
    <row r="338" spans="2:18" s="802" customFormat="1" hidden="1" x14ac:dyDescent="0.35">
      <c r="B338" s="339"/>
      <c r="C338" s="339"/>
      <c r="D338" s="339"/>
      <c r="E338" s="339"/>
      <c r="F338" s="339"/>
      <c r="G338" s="339"/>
      <c r="H338" s="339"/>
      <c r="I338" s="339"/>
      <c r="J338" s="339"/>
      <c r="K338" s="339"/>
      <c r="L338" s="339"/>
      <c r="M338" s="339"/>
      <c r="N338" s="339"/>
      <c r="O338" s="339"/>
      <c r="P338" s="339"/>
      <c r="Q338" s="339"/>
      <c r="R338" s="339"/>
    </row>
    <row r="339" spans="2:18" s="802" customFormat="1" hidden="1" x14ac:dyDescent="0.35">
      <c r="B339" s="339"/>
      <c r="C339" s="339"/>
      <c r="D339" s="339"/>
      <c r="E339" s="339"/>
      <c r="F339" s="339"/>
      <c r="G339" s="339"/>
      <c r="H339" s="339"/>
      <c r="I339" s="339"/>
      <c r="J339" s="339"/>
      <c r="K339" s="339"/>
      <c r="L339" s="339"/>
      <c r="M339" s="339"/>
      <c r="N339" s="339"/>
      <c r="O339" s="339"/>
      <c r="P339" s="339"/>
      <c r="Q339" s="339"/>
      <c r="R339" s="339"/>
    </row>
    <row r="340" spans="2:18" s="802" customFormat="1" hidden="1" x14ac:dyDescent="0.35">
      <c r="B340" s="339"/>
      <c r="C340" s="339"/>
      <c r="D340" s="339"/>
      <c r="E340" s="339"/>
      <c r="F340" s="339"/>
      <c r="G340" s="339"/>
      <c r="H340" s="339"/>
      <c r="I340" s="339"/>
      <c r="J340" s="339"/>
      <c r="K340" s="339"/>
      <c r="L340" s="339"/>
      <c r="M340" s="339"/>
      <c r="N340" s="339"/>
      <c r="O340" s="339"/>
      <c r="P340" s="339"/>
      <c r="Q340" s="339"/>
      <c r="R340" s="339"/>
    </row>
    <row r="341" spans="2:18" s="802" customFormat="1" hidden="1" x14ac:dyDescent="0.35">
      <c r="B341" s="339"/>
      <c r="C341" s="339"/>
      <c r="D341" s="339"/>
      <c r="E341" s="339"/>
      <c r="F341" s="339"/>
      <c r="G341" s="339"/>
      <c r="H341" s="339"/>
      <c r="I341" s="339"/>
      <c r="J341" s="339"/>
      <c r="K341" s="339"/>
      <c r="L341" s="339"/>
      <c r="M341" s="339"/>
      <c r="N341" s="339"/>
      <c r="O341" s="339"/>
      <c r="P341" s="339"/>
      <c r="Q341" s="339"/>
      <c r="R341" s="339"/>
    </row>
    <row r="342" spans="2:18" s="802" customFormat="1" hidden="1" x14ac:dyDescent="0.35">
      <c r="B342" s="339"/>
      <c r="C342" s="339"/>
      <c r="D342" s="339"/>
      <c r="E342" s="339"/>
      <c r="F342" s="339"/>
      <c r="G342" s="339"/>
      <c r="H342" s="339"/>
      <c r="I342" s="339"/>
      <c r="J342" s="339"/>
      <c r="K342" s="339"/>
      <c r="L342" s="339"/>
      <c r="M342" s="339"/>
      <c r="N342" s="339"/>
      <c r="O342" s="339"/>
      <c r="P342" s="339"/>
      <c r="Q342" s="339"/>
      <c r="R342" s="339"/>
    </row>
    <row r="343" spans="2:18" s="802" customFormat="1" hidden="1" x14ac:dyDescent="0.35">
      <c r="B343" s="339"/>
      <c r="C343" s="339"/>
      <c r="D343" s="339"/>
      <c r="E343" s="339"/>
      <c r="F343" s="339"/>
      <c r="G343" s="339"/>
      <c r="H343" s="339"/>
      <c r="I343" s="339"/>
      <c r="J343" s="339"/>
      <c r="K343" s="339"/>
      <c r="L343" s="339"/>
      <c r="M343" s="339"/>
      <c r="N343" s="339"/>
      <c r="O343" s="339"/>
      <c r="P343" s="339"/>
      <c r="Q343" s="339"/>
      <c r="R343" s="339"/>
    </row>
    <row r="344" spans="2:18" s="802" customFormat="1" hidden="1" x14ac:dyDescent="0.35">
      <c r="B344" s="339"/>
      <c r="C344" s="339"/>
      <c r="D344" s="339"/>
      <c r="E344" s="339"/>
      <c r="F344" s="339"/>
      <c r="G344" s="339"/>
      <c r="H344" s="339"/>
      <c r="I344" s="339"/>
      <c r="J344" s="339"/>
      <c r="K344" s="339"/>
      <c r="L344" s="339"/>
      <c r="M344" s="339"/>
      <c r="N344" s="339"/>
      <c r="O344" s="339"/>
      <c r="P344" s="339"/>
      <c r="Q344" s="339"/>
      <c r="R344" s="339"/>
    </row>
    <row r="345" spans="2:18" s="802" customFormat="1" hidden="1" x14ac:dyDescent="0.35">
      <c r="B345" s="339"/>
      <c r="C345" s="339"/>
      <c r="D345" s="339"/>
      <c r="E345" s="339"/>
      <c r="F345" s="339"/>
      <c r="G345" s="339"/>
      <c r="H345" s="339"/>
      <c r="I345" s="339"/>
      <c r="J345" s="339"/>
      <c r="K345" s="339"/>
      <c r="L345" s="339"/>
      <c r="M345" s="339"/>
      <c r="N345" s="339"/>
      <c r="O345" s="339"/>
      <c r="P345" s="339"/>
      <c r="Q345" s="339"/>
      <c r="R345" s="339"/>
    </row>
    <row r="346" spans="2:18" s="802" customFormat="1" hidden="1" x14ac:dyDescent="0.35">
      <c r="B346" s="339"/>
      <c r="C346" s="339"/>
      <c r="D346" s="339"/>
      <c r="E346" s="339"/>
      <c r="F346" s="339"/>
      <c r="G346" s="339"/>
      <c r="H346" s="339"/>
      <c r="I346" s="339"/>
      <c r="J346" s="339"/>
      <c r="K346" s="339"/>
      <c r="L346" s="339"/>
      <c r="M346" s="339"/>
      <c r="N346" s="339"/>
      <c r="O346" s="339"/>
      <c r="P346" s="339"/>
      <c r="Q346" s="339"/>
      <c r="R346" s="339"/>
    </row>
    <row r="347" spans="2:18" s="802" customFormat="1" hidden="1" x14ac:dyDescent="0.35">
      <c r="B347" s="339"/>
      <c r="C347" s="339"/>
      <c r="D347" s="339"/>
      <c r="E347" s="339"/>
      <c r="F347" s="339"/>
      <c r="G347" s="339"/>
      <c r="H347" s="339"/>
      <c r="I347" s="339"/>
      <c r="J347" s="339"/>
      <c r="K347" s="339"/>
      <c r="L347" s="339"/>
      <c r="M347" s="339"/>
      <c r="N347" s="339"/>
      <c r="O347" s="339"/>
      <c r="P347" s="339"/>
      <c r="Q347" s="339"/>
      <c r="R347" s="339"/>
    </row>
    <row r="348" spans="2:18" s="802" customFormat="1" hidden="1" x14ac:dyDescent="0.35">
      <c r="B348" s="339"/>
      <c r="C348" s="339"/>
      <c r="D348" s="339"/>
      <c r="E348" s="339"/>
      <c r="F348" s="339"/>
      <c r="G348" s="339"/>
      <c r="H348" s="339"/>
      <c r="I348" s="339"/>
      <c r="J348" s="339"/>
      <c r="K348" s="339"/>
      <c r="L348" s="339"/>
      <c r="M348" s="339"/>
      <c r="N348" s="339"/>
      <c r="O348" s="339"/>
      <c r="P348" s="339"/>
      <c r="Q348" s="339"/>
      <c r="R348" s="339"/>
    </row>
    <row r="349" spans="2:18" s="802" customFormat="1" hidden="1" x14ac:dyDescent="0.35">
      <c r="B349" s="339"/>
      <c r="C349" s="339"/>
      <c r="D349" s="339"/>
      <c r="E349" s="339"/>
      <c r="F349" s="339"/>
      <c r="G349" s="339"/>
      <c r="H349" s="339"/>
      <c r="I349" s="339"/>
      <c r="J349" s="339"/>
      <c r="K349" s="339"/>
      <c r="L349" s="339"/>
      <c r="M349" s="339"/>
      <c r="N349" s="339"/>
      <c r="O349" s="339"/>
      <c r="P349" s="339"/>
      <c r="Q349" s="339"/>
      <c r="R349" s="339"/>
    </row>
    <row r="350" spans="2:18" s="802" customFormat="1" hidden="1" x14ac:dyDescent="0.35">
      <c r="B350" s="339"/>
      <c r="C350" s="339"/>
      <c r="D350" s="339"/>
      <c r="E350" s="339"/>
      <c r="F350" s="339"/>
      <c r="G350" s="339"/>
      <c r="H350" s="339"/>
      <c r="I350" s="339"/>
      <c r="J350" s="339"/>
      <c r="K350" s="339"/>
      <c r="L350" s="339"/>
      <c r="M350" s="339"/>
      <c r="N350" s="339"/>
      <c r="O350" s="339"/>
      <c r="P350" s="339"/>
      <c r="Q350" s="339"/>
      <c r="R350" s="339"/>
    </row>
    <row r="351" spans="2:18" s="802" customFormat="1" hidden="1" x14ac:dyDescent="0.35">
      <c r="B351" s="339"/>
      <c r="C351" s="339"/>
      <c r="D351" s="339"/>
      <c r="E351" s="339"/>
      <c r="F351" s="339"/>
      <c r="G351" s="339"/>
      <c r="H351" s="339"/>
      <c r="I351" s="339"/>
      <c r="J351" s="339"/>
      <c r="K351" s="339"/>
      <c r="L351" s="339"/>
      <c r="M351" s="339"/>
      <c r="N351" s="339"/>
      <c r="O351" s="339"/>
      <c r="P351" s="339"/>
      <c r="Q351" s="339"/>
      <c r="R351" s="339"/>
    </row>
    <row r="352" spans="2:18" s="802" customFormat="1" hidden="1" x14ac:dyDescent="0.35">
      <c r="B352" s="339"/>
      <c r="C352" s="339"/>
      <c r="D352" s="339"/>
      <c r="E352" s="339"/>
      <c r="F352" s="339"/>
      <c r="G352" s="339"/>
      <c r="H352" s="339"/>
      <c r="I352" s="339"/>
      <c r="J352" s="339"/>
      <c r="K352" s="339"/>
      <c r="L352" s="339"/>
      <c r="M352" s="339"/>
      <c r="N352" s="339"/>
      <c r="O352" s="339"/>
      <c r="P352" s="339"/>
      <c r="Q352" s="339"/>
      <c r="R352" s="339"/>
    </row>
    <row r="353" spans="2:18" s="802" customFormat="1" hidden="1" x14ac:dyDescent="0.35">
      <c r="B353" s="339"/>
      <c r="C353" s="339"/>
      <c r="D353" s="339"/>
      <c r="E353" s="339"/>
      <c r="F353" s="339"/>
      <c r="G353" s="339"/>
      <c r="H353" s="339"/>
      <c r="I353" s="339"/>
      <c r="J353" s="339"/>
      <c r="K353" s="339"/>
      <c r="L353" s="339"/>
      <c r="M353" s="339"/>
      <c r="N353" s="339"/>
      <c r="O353" s="339"/>
      <c r="P353" s="339"/>
      <c r="Q353" s="339"/>
      <c r="R353" s="339"/>
    </row>
    <row r="354" spans="2:18" s="802" customFormat="1" hidden="1" x14ac:dyDescent="0.35">
      <c r="B354" s="339"/>
      <c r="C354" s="339"/>
      <c r="D354" s="339"/>
      <c r="E354" s="339"/>
      <c r="F354" s="339"/>
      <c r="G354" s="339"/>
      <c r="H354" s="339"/>
      <c r="I354" s="339"/>
      <c r="J354" s="339"/>
      <c r="K354" s="339"/>
      <c r="L354" s="339"/>
      <c r="M354" s="339"/>
      <c r="N354" s="339"/>
      <c r="O354" s="339"/>
      <c r="P354" s="339"/>
      <c r="Q354" s="339"/>
      <c r="R354" s="339"/>
    </row>
    <row r="355" spans="2:18" s="802" customFormat="1" hidden="1" x14ac:dyDescent="0.35">
      <c r="B355" s="339"/>
      <c r="C355" s="339"/>
      <c r="D355" s="339"/>
      <c r="E355" s="339"/>
      <c r="F355" s="339"/>
      <c r="G355" s="339"/>
      <c r="H355" s="339"/>
      <c r="I355" s="339"/>
      <c r="J355" s="339"/>
      <c r="K355" s="339"/>
      <c r="L355" s="339"/>
      <c r="M355" s="339"/>
      <c r="N355" s="339"/>
      <c r="O355" s="339"/>
      <c r="P355" s="339"/>
      <c r="Q355" s="339"/>
      <c r="R355" s="339"/>
    </row>
    <row r="356" spans="2:18" s="802" customFormat="1" hidden="1" x14ac:dyDescent="0.35">
      <c r="B356" s="339"/>
      <c r="C356" s="339"/>
      <c r="D356" s="339"/>
      <c r="E356" s="339"/>
      <c r="F356" s="339"/>
      <c r="G356" s="339"/>
      <c r="H356" s="339"/>
      <c r="I356" s="339"/>
      <c r="J356" s="339"/>
      <c r="K356" s="339"/>
      <c r="L356" s="339"/>
      <c r="M356" s="339"/>
      <c r="N356" s="339"/>
      <c r="O356" s="339"/>
      <c r="P356" s="339"/>
      <c r="Q356" s="339"/>
      <c r="R356" s="339"/>
    </row>
    <row r="357" spans="2:18" s="802" customFormat="1" hidden="1" x14ac:dyDescent="0.35">
      <c r="B357" s="339"/>
      <c r="C357" s="339"/>
      <c r="D357" s="339"/>
      <c r="E357" s="339"/>
      <c r="F357" s="339"/>
      <c r="G357" s="339"/>
      <c r="H357" s="339"/>
      <c r="I357" s="339"/>
      <c r="J357" s="339"/>
      <c r="K357" s="339"/>
      <c r="L357" s="339"/>
      <c r="M357" s="339"/>
      <c r="N357" s="339"/>
      <c r="O357" s="339"/>
      <c r="P357" s="339"/>
      <c r="Q357" s="339"/>
      <c r="R357" s="339"/>
    </row>
    <row r="358" spans="2:18" s="802" customFormat="1" hidden="1" x14ac:dyDescent="0.35">
      <c r="B358" s="339"/>
      <c r="C358" s="339"/>
      <c r="D358" s="339"/>
      <c r="E358" s="339"/>
      <c r="F358" s="339"/>
      <c r="G358" s="339"/>
      <c r="H358" s="339"/>
      <c r="I358" s="339"/>
      <c r="J358" s="339"/>
      <c r="K358" s="339"/>
      <c r="L358" s="339"/>
      <c r="M358" s="339"/>
      <c r="N358" s="339"/>
      <c r="O358" s="339"/>
      <c r="P358" s="339"/>
      <c r="Q358" s="339"/>
      <c r="R358" s="339"/>
    </row>
    <row r="359" spans="2:18" s="802" customFormat="1" hidden="1" x14ac:dyDescent="0.35">
      <c r="B359" s="339"/>
      <c r="C359" s="339"/>
      <c r="D359" s="339"/>
      <c r="E359" s="339"/>
      <c r="F359" s="339"/>
      <c r="G359" s="339"/>
      <c r="H359" s="339"/>
      <c r="I359" s="339"/>
      <c r="J359" s="339"/>
      <c r="K359" s="339"/>
      <c r="L359" s="339"/>
      <c r="M359" s="339"/>
      <c r="N359" s="339"/>
      <c r="O359" s="339"/>
      <c r="P359" s="339"/>
      <c r="Q359" s="339"/>
      <c r="R359" s="339"/>
    </row>
    <row r="360" spans="2:18" s="802" customFormat="1" hidden="1" x14ac:dyDescent="0.35">
      <c r="B360" s="339"/>
      <c r="C360" s="339"/>
      <c r="D360" s="339"/>
      <c r="E360" s="339"/>
      <c r="F360" s="339"/>
      <c r="G360" s="339"/>
      <c r="H360" s="339"/>
      <c r="I360" s="339"/>
      <c r="J360" s="339"/>
      <c r="K360" s="339"/>
      <c r="L360" s="339"/>
      <c r="M360" s="339"/>
      <c r="N360" s="339"/>
      <c r="O360" s="339"/>
      <c r="P360" s="339"/>
      <c r="Q360" s="339"/>
      <c r="R360" s="339"/>
    </row>
    <row r="361" spans="2:18" s="802" customFormat="1" hidden="1" x14ac:dyDescent="0.35">
      <c r="B361" s="339"/>
      <c r="C361" s="339"/>
      <c r="D361" s="339"/>
      <c r="E361" s="339"/>
      <c r="F361" s="339"/>
      <c r="G361" s="339"/>
      <c r="H361" s="339"/>
      <c r="I361" s="339"/>
      <c r="J361" s="339"/>
      <c r="K361" s="339"/>
      <c r="L361" s="339"/>
      <c r="M361" s="339"/>
      <c r="N361" s="339"/>
      <c r="O361" s="339"/>
      <c r="P361" s="339"/>
      <c r="Q361" s="339"/>
      <c r="R361" s="339"/>
    </row>
    <row r="362" spans="2:18" s="802" customFormat="1" hidden="1" x14ac:dyDescent="0.35">
      <c r="B362" s="339"/>
      <c r="C362" s="339"/>
      <c r="D362" s="339"/>
      <c r="E362" s="339"/>
      <c r="F362" s="339"/>
      <c r="G362" s="339"/>
      <c r="H362" s="339"/>
      <c r="I362" s="339"/>
      <c r="J362" s="339"/>
      <c r="K362" s="339"/>
      <c r="L362" s="339"/>
      <c r="M362" s="339"/>
      <c r="N362" s="339"/>
      <c r="O362" s="339"/>
      <c r="P362" s="339"/>
      <c r="Q362" s="339"/>
      <c r="R362" s="339"/>
    </row>
    <row r="363" spans="2:18" s="802" customFormat="1" hidden="1" x14ac:dyDescent="0.35">
      <c r="B363" s="339"/>
      <c r="C363" s="339"/>
      <c r="D363" s="339"/>
      <c r="E363" s="339"/>
      <c r="F363" s="339"/>
      <c r="G363" s="339"/>
      <c r="H363" s="339"/>
      <c r="I363" s="339"/>
      <c r="J363" s="339"/>
      <c r="K363" s="339"/>
      <c r="L363" s="339"/>
      <c r="M363" s="339"/>
      <c r="N363" s="339"/>
      <c r="O363" s="339"/>
      <c r="P363" s="339"/>
      <c r="Q363" s="339"/>
      <c r="R363" s="339"/>
    </row>
    <row r="364" spans="2:18" s="802" customFormat="1" hidden="1" x14ac:dyDescent="0.35">
      <c r="B364" s="339"/>
      <c r="C364" s="339"/>
      <c r="D364" s="339"/>
      <c r="E364" s="339"/>
      <c r="F364" s="339"/>
      <c r="G364" s="339"/>
      <c r="H364" s="339"/>
      <c r="I364" s="339"/>
      <c r="J364" s="339"/>
      <c r="K364" s="339"/>
      <c r="L364" s="339"/>
      <c r="M364" s="339"/>
      <c r="N364" s="339"/>
      <c r="O364" s="339"/>
      <c r="P364" s="339"/>
      <c r="Q364" s="339"/>
      <c r="R364" s="339"/>
    </row>
    <row r="365" spans="2:18" hidden="1" x14ac:dyDescent="0.35">
      <c r="C365" s="478"/>
      <c r="D365" s="478"/>
      <c r="E365" s="478"/>
      <c r="F365" s="478"/>
      <c r="G365" s="478"/>
      <c r="H365" s="478"/>
      <c r="I365" s="478"/>
      <c r="J365" s="478"/>
      <c r="K365" s="478"/>
      <c r="L365" s="478"/>
      <c r="M365" s="478"/>
      <c r="N365" s="478"/>
      <c r="O365" s="478"/>
      <c r="P365" s="478"/>
      <c r="Q365" s="478"/>
    </row>
    <row r="366" spans="2:18" hidden="1" x14ac:dyDescent="0.35">
      <c r="C366" s="478"/>
      <c r="D366" s="478"/>
      <c r="E366" s="478"/>
      <c r="F366" s="478"/>
      <c r="G366" s="478"/>
      <c r="H366" s="478"/>
      <c r="I366" s="478"/>
      <c r="M366" s="478"/>
    </row>
    <row r="388" x14ac:dyDescent="0.35"/>
    <row r="389" x14ac:dyDescent="0.35"/>
    <row r="390" x14ac:dyDescent="0.35"/>
    <row r="391" x14ac:dyDescent="0.35"/>
    <row r="392" x14ac:dyDescent="0.35"/>
  </sheetData>
  <sheetProtection algorithmName="SHA-512" hashValue="PPLz/lNJ7ENdgvRGOWEr0nchEH2qNZfbq1wxvV+FWJ7I3sOhtTSM/UDiE/3HMdEbZgyplfZF+9f+BEMRMbiBtQ==" saltValue="5uh7ILzQpfmdp7e9BFHNyA==" spinCount="100000" sheet="1" formatCells="0" formatColumns="0" formatRows="0" insertColumns="0" insertRows="0" insertHyperlinks="0" deleteColumns="0" deleteRows="0" sort="0" autoFilter="0" pivotTables="0"/>
  <dataConsolidate/>
  <mergeCells count="217">
    <mergeCell ref="B2:D2"/>
    <mergeCell ref="M204:P204"/>
    <mergeCell ref="M188:P188"/>
    <mergeCell ref="M187:P187"/>
    <mergeCell ref="M186:P186"/>
    <mergeCell ref="M185:P185"/>
    <mergeCell ref="M211:P211"/>
    <mergeCell ref="M166:P166"/>
    <mergeCell ref="M100:P100"/>
    <mergeCell ref="M165:P165"/>
    <mergeCell ref="M164:P164"/>
    <mergeCell ref="M163:P163"/>
    <mergeCell ref="M101:P101"/>
    <mergeCell ref="M177:P177"/>
    <mergeCell ref="M157:P157"/>
    <mergeCell ref="M173:P173"/>
    <mergeCell ref="M170:P170"/>
    <mergeCell ref="M169:P169"/>
    <mergeCell ref="M168:P168"/>
    <mergeCell ref="M167:P167"/>
    <mergeCell ref="N152:P152"/>
    <mergeCell ref="M208:P208"/>
    <mergeCell ref="M207:P207"/>
    <mergeCell ref="M210:P210"/>
    <mergeCell ref="M182:P182"/>
    <mergeCell ref="R2:R5"/>
    <mergeCell ref="M71:P71"/>
    <mergeCell ref="M72:P72"/>
    <mergeCell ref="M73:P73"/>
    <mergeCell ref="M74:P74"/>
    <mergeCell ref="M290:P290"/>
    <mergeCell ref="M292:P292"/>
    <mergeCell ref="M196:P196"/>
    <mergeCell ref="M195:P195"/>
    <mergeCell ref="M194:P194"/>
    <mergeCell ref="M193:P193"/>
    <mergeCell ref="M192:P192"/>
    <mergeCell ref="M191:P191"/>
    <mergeCell ref="M190:P190"/>
    <mergeCell ref="M189:P189"/>
    <mergeCell ref="M176:P176"/>
    <mergeCell ref="M175:P175"/>
    <mergeCell ref="M231:P231"/>
    <mergeCell ref="M174:P174"/>
    <mergeCell ref="M103:P103"/>
    <mergeCell ref="M108:P108"/>
    <mergeCell ref="M209:P209"/>
    <mergeCell ref="M205:P205"/>
    <mergeCell ref="M206:P206"/>
    <mergeCell ref="M212:P212"/>
    <mergeCell ref="M311:P311"/>
    <mergeCell ref="M291:P291"/>
    <mergeCell ref="M312:P312"/>
    <mergeCell ref="M223:P223"/>
    <mergeCell ref="M299:P299"/>
    <mergeCell ref="M301:P301"/>
    <mergeCell ref="M256:P256"/>
    <mergeCell ref="M293:P293"/>
    <mergeCell ref="M253:P253"/>
    <mergeCell ref="M213:P213"/>
    <mergeCell ref="M313:P313"/>
    <mergeCell ref="M314:P314"/>
    <mergeCell ref="M302:P302"/>
    <mergeCell ref="M303:P303"/>
    <mergeCell ref="M304:P304"/>
    <mergeCell ref="M307:P307"/>
    <mergeCell ref="M310:P310"/>
    <mergeCell ref="M233:P233"/>
    <mergeCell ref="M216:P216"/>
    <mergeCell ref="M217:P217"/>
    <mergeCell ref="M218:P218"/>
    <mergeCell ref="M219:P219"/>
    <mergeCell ref="M232:P232"/>
    <mergeCell ref="M305:P305"/>
    <mergeCell ref="M179:P179"/>
    <mergeCell ref="M80:P80"/>
    <mergeCell ref="M81:P81"/>
    <mergeCell ref="M82:P82"/>
    <mergeCell ref="M83:P83"/>
    <mergeCell ref="M84:P84"/>
    <mergeCell ref="M85:P85"/>
    <mergeCell ref="M87:P87"/>
    <mergeCell ref="M88:P88"/>
    <mergeCell ref="M89:P89"/>
    <mergeCell ref="M155:P155"/>
    <mergeCell ref="M154:P154"/>
    <mergeCell ref="M107:P107"/>
    <mergeCell ref="M102:P102"/>
    <mergeCell ref="M156:P156"/>
    <mergeCell ref="M178:P178"/>
    <mergeCell ref="M98:P98"/>
    <mergeCell ref="M95:P95"/>
    <mergeCell ref="M99:P99"/>
    <mergeCell ref="I76:L76"/>
    <mergeCell ref="I77:L77"/>
    <mergeCell ref="I80:L80"/>
    <mergeCell ref="I81:L81"/>
    <mergeCell ref="I82:L82"/>
    <mergeCell ref="I83:L83"/>
    <mergeCell ref="I84:L84"/>
    <mergeCell ref="I85:L85"/>
    <mergeCell ref="M76:P76"/>
    <mergeCell ref="M77:P77"/>
    <mergeCell ref="I155:L155"/>
    <mergeCell ref="I157:L157"/>
    <mergeCell ref="I163:L163"/>
    <mergeCell ref="I164:L164"/>
    <mergeCell ref="I165:L165"/>
    <mergeCell ref="I87:L87"/>
    <mergeCell ref="I88:L88"/>
    <mergeCell ref="I89:L89"/>
    <mergeCell ref="I95:L95"/>
    <mergeCell ref="I98:L98"/>
    <mergeCell ref="I99:L99"/>
    <mergeCell ref="I100:L100"/>
    <mergeCell ref="I101:L101"/>
    <mergeCell ref="I102:L102"/>
    <mergeCell ref="I156:L156"/>
    <mergeCell ref="I108:L108"/>
    <mergeCell ref="J152:L152"/>
    <mergeCell ref="I154:L154"/>
    <mergeCell ref="B4:P4"/>
    <mergeCell ref="I166:L166"/>
    <mergeCell ref="I167:L167"/>
    <mergeCell ref="I168:L168"/>
    <mergeCell ref="I169:L169"/>
    <mergeCell ref="I170:L170"/>
    <mergeCell ref="I173:L173"/>
    <mergeCell ref="I174:L174"/>
    <mergeCell ref="I175:L175"/>
    <mergeCell ref="I6:L6"/>
    <mergeCell ref="I5:L5"/>
    <mergeCell ref="I7:L7"/>
    <mergeCell ref="I71:L71"/>
    <mergeCell ref="I72:L72"/>
    <mergeCell ref="I73:L73"/>
    <mergeCell ref="B12:P12"/>
    <mergeCell ref="M75:P75"/>
    <mergeCell ref="I74:L74"/>
    <mergeCell ref="I75:L75"/>
    <mergeCell ref="M5:P5"/>
    <mergeCell ref="M6:P6"/>
    <mergeCell ref="M7:P7"/>
    <mergeCell ref="I107:L107"/>
    <mergeCell ref="I103:L103"/>
    <mergeCell ref="I176:L176"/>
    <mergeCell ref="I192:L192"/>
    <mergeCell ref="I193:L193"/>
    <mergeCell ref="I194:L194"/>
    <mergeCell ref="I195:L195"/>
    <mergeCell ref="I196:L196"/>
    <mergeCell ref="I204:L204"/>
    <mergeCell ref="I205:L205"/>
    <mergeCell ref="I206:L206"/>
    <mergeCell ref="I177:L177"/>
    <mergeCell ref="I179:L179"/>
    <mergeCell ref="I185:L185"/>
    <mergeCell ref="I186:L186"/>
    <mergeCell ref="I187:L187"/>
    <mergeCell ref="I188:L188"/>
    <mergeCell ref="I189:L189"/>
    <mergeCell ref="I190:L190"/>
    <mergeCell ref="I191:L191"/>
    <mergeCell ref="I178:L178"/>
    <mergeCell ref="I207:L207"/>
    <mergeCell ref="I210:L210"/>
    <mergeCell ref="I212:L212"/>
    <mergeCell ref="I213:L213"/>
    <mergeCell ref="I216:L216"/>
    <mergeCell ref="I217:L217"/>
    <mergeCell ref="I218:L218"/>
    <mergeCell ref="I219:L219"/>
    <mergeCell ref="I231:L231"/>
    <mergeCell ref="I208:L208"/>
    <mergeCell ref="I209:L209"/>
    <mergeCell ref="I223:L223"/>
    <mergeCell ref="I224:L224"/>
    <mergeCell ref="I211:L211"/>
    <mergeCell ref="I307:L307"/>
    <mergeCell ref="I310:L310"/>
    <mergeCell ref="I311:L311"/>
    <mergeCell ref="I312:L312"/>
    <mergeCell ref="I313:L313"/>
    <mergeCell ref="I314:L314"/>
    <mergeCell ref="I297:L297"/>
    <mergeCell ref="I298:L298"/>
    <mergeCell ref="I299:L299"/>
    <mergeCell ref="I300:L300"/>
    <mergeCell ref="I301:L301"/>
    <mergeCell ref="I302:L302"/>
    <mergeCell ref="I303:L303"/>
    <mergeCell ref="I304:L304"/>
    <mergeCell ref="I305:L305"/>
    <mergeCell ref="I295:L295"/>
    <mergeCell ref="M295:P295"/>
    <mergeCell ref="M224:P224"/>
    <mergeCell ref="I306:L306"/>
    <mergeCell ref="I289:L289"/>
    <mergeCell ref="I290:L290"/>
    <mergeCell ref="I292:L292"/>
    <mergeCell ref="I293:L293"/>
    <mergeCell ref="I294:L294"/>
    <mergeCell ref="I296:L296"/>
    <mergeCell ref="I232:L232"/>
    <mergeCell ref="I233:L233"/>
    <mergeCell ref="I253:L253"/>
    <mergeCell ref="I256:L256"/>
    <mergeCell ref="I259:L259"/>
    <mergeCell ref="I291:L291"/>
    <mergeCell ref="M259:P259"/>
    <mergeCell ref="M306:P306"/>
    <mergeCell ref="M294:P294"/>
    <mergeCell ref="M289:P289"/>
    <mergeCell ref="M296:P296"/>
    <mergeCell ref="M297:P297"/>
    <mergeCell ref="M298:P298"/>
    <mergeCell ref="M300:P300"/>
  </mergeCells>
  <conditionalFormatting sqref="C129:H129 J129:L129 N129:P129">
    <cfRule type="cellIs" dxfId="0" priority="1" operator="lessThan">
      <formula>1</formula>
    </cfRule>
  </conditionalFormatting>
  <dataValidations count="3">
    <dataValidation type="decimal" operator="greaterThanOrEqual" allowBlank="1" showInputMessage="1" showErrorMessage="1" error="Por lo menos 1 familia" sqref="C70:F70 C25:I25 M25 C23:I23 M23">
      <formula1>1</formula1>
    </dataValidation>
    <dataValidation type="decimal" operator="greaterThanOrEqual" allowBlank="1" showInputMessage="1" showErrorMessage="1" sqref="P236:P237 C231:P231 P239 O162:P162 C256:P256 C253:P253 K244:K245 M152:N153 C152:J153 C128:P128 M51 C175:P175 C192:P192 C136:P136 K162:L162 D278:I285 D286:M286 C187:P187 C190:P190 M263:M268 L236:L237 L239 M61:M63 C45:I45 C213:P215 C51:I51 M45 C61:I63 M278:M285 O244:O245 F197:P197 C270:I276 C263:I268 C278:C286 M270:M276 C167:P167 C259:P259">
      <formula1>0</formula1>
    </dataValidation>
    <dataValidation type="list" allowBlank="1" showInputMessage="1" showErrorMessage="1" sqref="K9:L9 O9:P9">
      <formula1>$A$380:$A$381</formula1>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tint="-0.14999847407452621"/>
  </sheetPr>
  <dimension ref="A1:M145"/>
  <sheetViews>
    <sheetView zoomScale="70" zoomScaleNormal="70" workbookViewId="0">
      <selection activeCell="F45" sqref="F45"/>
    </sheetView>
  </sheetViews>
  <sheetFormatPr defaultColWidth="0" defaultRowHeight="14.5" zeroHeight="1" x14ac:dyDescent="0.35"/>
  <cols>
    <col min="1" max="1" width="4.7265625" style="30" customWidth="1"/>
    <col min="2" max="2" width="80" style="30" customWidth="1"/>
    <col min="3" max="3" width="15.54296875" style="30" customWidth="1"/>
    <col min="4" max="11" width="26.453125" style="30" customWidth="1"/>
    <col min="12" max="12" width="26.26953125" style="30" customWidth="1"/>
    <col min="13" max="13" width="11.453125" style="30" customWidth="1"/>
    <col min="14" max="16384" width="11.453125" hidden="1"/>
  </cols>
  <sheetData>
    <row r="1" spans="2:12" ht="15" thickBot="1" x14ac:dyDescent="0.4"/>
    <row r="2" spans="2:12" ht="21.5" thickBot="1" x14ac:dyDescent="0.55000000000000004">
      <c r="B2" s="101"/>
      <c r="C2" s="1114" t="str">
        <f>'4) Resultados'!AW28</f>
        <v>Caso real actual</v>
      </c>
      <c r="D2" s="1120" t="str">
        <f>'4) Resultados'!AY7</f>
        <v>Recolección por acera</v>
      </c>
      <c r="E2" s="1117"/>
      <c r="F2" s="1116" t="str">
        <f>'4) Resultados'!BC7</f>
        <v>Recolección por esquina</v>
      </c>
      <c r="G2" s="1117"/>
      <c r="H2" s="1116" t="str">
        <f>'4) Resultados'!BG7</f>
        <v>Recolección con contenedores</v>
      </c>
      <c r="I2" s="1117"/>
      <c r="J2" s="1118" t="str">
        <f>'4) Resultados'!BK7</f>
        <v>Recolección diferenciada con contenedores</v>
      </c>
      <c r="K2" s="1119"/>
    </row>
    <row r="3" spans="2:12" ht="42.5" thickBot="1" x14ac:dyDescent="0.4">
      <c r="B3" s="229" t="str">
        <f>Language!A787</f>
        <v>Indicadores de eficiencia del servicio</v>
      </c>
      <c r="C3" s="1115"/>
      <c r="D3" s="226" t="str">
        <f>'4) Resultados'!AY8</f>
        <v>Sin estación de transferencia</v>
      </c>
      <c r="E3" s="226" t="str">
        <f>'4) Resultados'!BA8</f>
        <v>Con estación de transferencia</v>
      </c>
      <c r="F3" s="227" t="str">
        <f>'4) Resultados'!BC8</f>
        <v>Sin estación de transferencia</v>
      </c>
      <c r="G3" s="228" t="str">
        <f>'4) Resultados'!BE8</f>
        <v>Con estación de transferencia</v>
      </c>
      <c r="H3" s="227" t="str">
        <f>'4) Resultados'!BG8</f>
        <v>Sin estación de transferencia</v>
      </c>
      <c r="I3" s="228" t="str">
        <f>'4) Resultados'!BI8</f>
        <v>Con estación de transferencia</v>
      </c>
      <c r="J3" s="227" t="str">
        <f>'4) Resultados'!BK8</f>
        <v>Sin estación de transferencia</v>
      </c>
      <c r="K3" s="228" t="str">
        <f>'4) Resultados'!BM8</f>
        <v>Con estación de transferencia</v>
      </c>
    </row>
    <row r="4" spans="2:12" ht="15" customHeight="1" x14ac:dyDescent="0.35">
      <c r="B4" s="230" t="str">
        <f>Language!A788</f>
        <v>Costo por tonelada recolectada [$$$/ton]</v>
      </c>
      <c r="C4" s="234" t="str">
        <f>'4) Resultados'!AW21</f>
        <v/>
      </c>
      <c r="D4" s="233" t="str">
        <f>'4) Resultados'!AY21</f>
        <v/>
      </c>
      <c r="E4" s="234" t="str">
        <f>'4) Resultados'!BA21</f>
        <v/>
      </c>
      <c r="F4" s="233" t="str">
        <f>'4) Resultados'!BC21</f>
        <v/>
      </c>
      <c r="G4" s="234" t="str">
        <f>'4) Resultados'!BE21</f>
        <v/>
      </c>
      <c r="H4" s="233" t="str">
        <f>'4) Resultados'!BG21</f>
        <v/>
      </c>
      <c r="I4" s="234" t="str">
        <f>'4) Resultados'!BI21</f>
        <v/>
      </c>
      <c r="J4" s="233" t="str">
        <f>'4) Resultados'!BK21</f>
        <v/>
      </c>
      <c r="K4" s="234" t="str">
        <f>'4) Resultados'!BM21</f>
        <v/>
      </c>
      <c r="L4" s="1113" t="str">
        <f>Language!A825</f>
        <v>Los cálculos de eficiencia no toman en cuenta el personal necesario para la recolección primaria</v>
      </c>
    </row>
    <row r="5" spans="2:12" x14ac:dyDescent="0.35">
      <c r="B5" s="231" t="str">
        <f>Language!A789</f>
        <v>Horas hombre por tonelada recolectada [h*persona/t]</v>
      </c>
      <c r="C5" s="245" t="str">
        <f>IF('0) Intro'!F22=0,"",'3) Parametros_modelo'!C86*daysofwork*52*('0) Intro'!F36+'0) Intro'!F37)/'0) Intro'!F22)</f>
        <v/>
      </c>
      <c r="D5" s="235" t="e">
        <f>(D12*SUM('5) Calculos'!C139:C144)+(D13*'3) Parametros_modelo'!$C$86))/('5) Calculos'!C89/1000)</f>
        <v>#DIV/0!</v>
      </c>
      <c r="E5" s="236" t="e">
        <f>(E12*SUM('5) Calculos'!D139:D144)+(E13*'3) Parametros_modelo'!$C$86))/('5) Calculos'!D89/1000)</f>
        <v>#DIV/0!</v>
      </c>
      <c r="F5" s="235" t="e">
        <f>(F12*SUM('5) Calculos'!E139:E144)+(F13*'3) Parametros_modelo'!$C$86))/('5) Calculos'!E89/1000)</f>
        <v>#DIV/0!</v>
      </c>
      <c r="G5" s="236" t="e">
        <f>(G12*SUM('5) Calculos'!F139:F144)+(G13*'3) Parametros_modelo'!$C$86))/('5) Calculos'!F89/1000)</f>
        <v>#DIV/0!</v>
      </c>
      <c r="H5" s="235" t="e">
        <f>(H12*SUM('5) Calculos'!G139:G144)+(H13*'3) Parametros_modelo'!$C$86))/('5) Calculos'!G89/1000)</f>
        <v>#DIV/0!</v>
      </c>
      <c r="I5" s="236" t="e">
        <f>(I12*SUM('5) Calculos'!H139:H144)+(I13*'3) Parametros_modelo'!$C$86))/('5) Calculos'!H89/1000)</f>
        <v>#DIV/0!</v>
      </c>
      <c r="J5" s="235" t="e">
        <f>(J12*SUM('5) Calculos'!I139:I144)+(J13*'3) Parametros_modelo'!$C$86))/('5) Calculos'!I89/1000)</f>
        <v>#DIV/0!</v>
      </c>
      <c r="K5" s="236" t="e">
        <f>(K12*SUM('5) Calculos'!M139:M144)+(K13*'3) Parametros_modelo'!$C$86))/('5) Calculos'!M89/1000)</f>
        <v>#DIV/0!</v>
      </c>
      <c r="L5" s="1113"/>
    </row>
    <row r="6" spans="2:12" x14ac:dyDescent="0.35">
      <c r="B6" s="231" t="str">
        <f>Language!A790</f>
        <v>Horas efectivas de recolección [h/día]</v>
      </c>
      <c r="C6" s="92"/>
      <c r="D6" s="237" t="e">
        <f>'5) Calculos'!C141</f>
        <v>#DIV/0!</v>
      </c>
      <c r="E6" s="238" t="e">
        <f>'5) Calculos'!D141</f>
        <v>#DIV/0!</v>
      </c>
      <c r="F6" s="237" t="e">
        <f>'5) Calculos'!E141</f>
        <v>#DIV/0!</v>
      </c>
      <c r="G6" s="239" t="e">
        <f>'5) Calculos'!F141</f>
        <v>#DIV/0!</v>
      </c>
      <c r="H6" s="237" t="e">
        <f>'5) Calculos'!G141</f>
        <v>#DIV/0!</v>
      </c>
      <c r="I6" s="239" t="e">
        <f>'5) Calculos'!H141</f>
        <v>#DIV/0!</v>
      </c>
      <c r="J6" s="237" t="e">
        <f>'5) Calculos'!I141</f>
        <v>#DIV/0!</v>
      </c>
      <c r="K6" s="238" t="e">
        <f>'5) Calculos'!M141</f>
        <v>#DIV/0!</v>
      </c>
      <c r="L6" s="1113"/>
    </row>
    <row r="7" spans="2:12" x14ac:dyDescent="0.35">
      <c r="B7" s="231" t="str">
        <f>Language!A791</f>
        <v>Tiempo efectivo de recolección [%]</v>
      </c>
      <c r="C7" s="92"/>
      <c r="D7" s="240" t="e">
        <f>'5) Calculos'!C141/'3) Parametros_modelo'!$C$86</f>
        <v>#DIV/0!</v>
      </c>
      <c r="E7" s="241" t="e">
        <f>'5) Calculos'!D141/'3) Parametros_modelo'!$C$86</f>
        <v>#DIV/0!</v>
      </c>
      <c r="F7" s="240" t="e">
        <f>'5) Calculos'!E141/'3) Parametros_modelo'!$C$86</f>
        <v>#DIV/0!</v>
      </c>
      <c r="G7" s="241" t="e">
        <f>'5) Calculos'!F141/'3) Parametros_modelo'!$C$86</f>
        <v>#DIV/0!</v>
      </c>
      <c r="H7" s="240" t="e">
        <f>'5) Calculos'!G141/'3) Parametros_modelo'!$C$86</f>
        <v>#DIV/0!</v>
      </c>
      <c r="I7" s="241" t="e">
        <f>'5) Calculos'!H141/'3) Parametros_modelo'!$C$86</f>
        <v>#DIV/0!</v>
      </c>
      <c r="J7" s="240" t="e">
        <f>'5) Calculos'!I141/'3) Parametros_modelo'!$C$86</f>
        <v>#DIV/0!</v>
      </c>
      <c r="K7" s="241" t="e">
        <f>'5) Calculos'!M141/'3) Parametros_modelo'!$C$86</f>
        <v>#DIV/0!</v>
      </c>
      <c r="L7" s="1113"/>
    </row>
    <row r="8" spans="2:12" x14ac:dyDescent="0.35">
      <c r="B8" s="231" t="str">
        <f>Language!A792</f>
        <v>Tiempo relativo de recolección versus transporte [%]</v>
      </c>
      <c r="C8" s="92"/>
      <c r="D8" s="240" t="e">
        <f>'5) Calculos'!C146</f>
        <v>#DIV/0!</v>
      </c>
      <c r="E8" s="241" t="e">
        <f>'5) Calculos'!D146</f>
        <v>#DIV/0!</v>
      </c>
      <c r="F8" s="240" t="e">
        <f>'5) Calculos'!E146</f>
        <v>#DIV/0!</v>
      </c>
      <c r="G8" s="241" t="e">
        <f>'5) Calculos'!F146</f>
        <v>#DIV/0!</v>
      </c>
      <c r="H8" s="240" t="e">
        <f>'5) Calculos'!G146</f>
        <v>#DIV/0!</v>
      </c>
      <c r="I8" s="241" t="e">
        <f>'5) Calculos'!H146</f>
        <v>#DIV/0!</v>
      </c>
      <c r="J8" s="240" t="e">
        <f>'5) Calculos'!I146</f>
        <v>#DIV/0!</v>
      </c>
      <c r="K8" s="241" t="e">
        <f>'5) Calculos'!M146</f>
        <v>#DIV/0!</v>
      </c>
      <c r="L8" s="1113"/>
    </row>
    <row r="9" spans="2:12" x14ac:dyDescent="0.35">
      <c r="B9" s="231" t="str">
        <f>Language!A793</f>
        <v>Tiempo para llenar camión al 100% [h]</v>
      </c>
      <c r="C9" s="92"/>
      <c r="D9" s="242" t="e">
        <f>('5) Calculos'!C118+'5) Calculos'!C120)/60</f>
        <v>#DIV/0!</v>
      </c>
      <c r="E9" s="243" t="e">
        <f>('5) Calculos'!D118+'5) Calculos'!D120)/60</f>
        <v>#DIV/0!</v>
      </c>
      <c r="F9" s="242" t="e">
        <f>('5) Calculos'!E118+'5) Calculos'!E120)/60</f>
        <v>#DIV/0!</v>
      </c>
      <c r="G9" s="243" t="e">
        <f>('5) Calculos'!F118+'5) Calculos'!F120)/60</f>
        <v>#DIV/0!</v>
      </c>
      <c r="H9" s="242" t="e">
        <f>('5) Calculos'!G118+'5) Calculos'!G120)/60</f>
        <v>#DIV/0!</v>
      </c>
      <c r="I9" s="243" t="e">
        <f>('5) Calculos'!H118+'5) Calculos'!H120)/60</f>
        <v>#DIV/0!</v>
      </c>
      <c r="J9" s="242" t="e">
        <f>(SUM('5) Calculos'!J118:L118,'5) Calculos'!J120:L120)/60)/SUM('5) Calculos'!J90:L90)</f>
        <v>#DIV/0!</v>
      </c>
      <c r="K9" s="243" t="e">
        <f>(SUM('5) Calculos'!N118:P118,'5) Calculos'!N120:P120)/60)/SUM('5) Calculos'!N90:P90)</f>
        <v>#DIV/0!</v>
      </c>
      <c r="L9" s="1113"/>
    </row>
    <row r="10" spans="2:12" x14ac:dyDescent="0.35">
      <c r="B10" s="231" t="str">
        <f>Language!A794</f>
        <v>Kilómetros recorridos por tonelada recolectada [km/ton]</v>
      </c>
      <c r="C10" s="236" t="str">
        <f>IF('0) Intro'!F22=0,"",'0) Intro'!F15/'0) Intro'!F22)</f>
        <v/>
      </c>
      <c r="D10" s="237" t="e">
        <f>SUM('5) Calculos'!C201:C204)/('5) Calculos'!C87*daysofgeneration/1000)</f>
        <v>#DIV/0!</v>
      </c>
      <c r="E10" s="238" t="e">
        <f>SUM('5) Calculos'!D201:D204)/('5) Calculos'!D87*daysofgeneration/1000)</f>
        <v>#DIV/0!</v>
      </c>
      <c r="F10" s="237" t="e">
        <f>SUM('5) Calculos'!E201:E204)/('5) Calculos'!E87*daysofgeneration/1000)</f>
        <v>#DIV/0!</v>
      </c>
      <c r="G10" s="238" t="e">
        <f>SUM('5) Calculos'!F201:F204)/('5) Calculos'!F87*daysofgeneration/1000)</f>
        <v>#DIV/0!</v>
      </c>
      <c r="H10" s="237" t="e">
        <f>SUM('5) Calculos'!G201:G204)/('5) Calculos'!G87*daysofgeneration/1000)</f>
        <v>#DIV/0!</v>
      </c>
      <c r="I10" s="238" t="e">
        <f>SUM('5) Calculos'!H201:H204)/('5) Calculos'!H87*daysofgeneration/1000)</f>
        <v>#DIV/0!</v>
      </c>
      <c r="J10" s="237" t="e">
        <f>SUM('5) Calculos'!I201:I204)/('5) Calculos'!I87*daysofgeneration/1000)</f>
        <v>#DIV/0!</v>
      </c>
      <c r="K10" s="238" t="e">
        <f>SUM('5) Calculos'!M201:M204)/('5) Calculos'!M87*daysofgeneration/1000)</f>
        <v>#DIV/0!</v>
      </c>
      <c r="L10" s="1113"/>
    </row>
    <row r="11" spans="2:12" x14ac:dyDescent="0.35">
      <c r="B11" s="231" t="str">
        <f>Language!A795</f>
        <v>Total personal de recolección primaria</v>
      </c>
      <c r="C11" s="245">
        <f>'0) Intro'!F35</f>
        <v>0</v>
      </c>
      <c r="D11" s="235" t="str">
        <f>'5) Calculos'!C54</f>
        <v/>
      </c>
      <c r="E11" s="236" t="str">
        <f>'5) Calculos'!D54</f>
        <v/>
      </c>
      <c r="F11" s="235" t="str">
        <f>'5) Calculos'!E54</f>
        <v/>
      </c>
      <c r="G11" s="236" t="str">
        <f>'5) Calculos'!F54</f>
        <v/>
      </c>
      <c r="H11" s="235" t="str">
        <f>'5) Calculos'!G54</f>
        <v/>
      </c>
      <c r="I11" s="236" t="str">
        <f>'5) Calculos'!H54</f>
        <v/>
      </c>
      <c r="J11" s="235" t="str">
        <f>'5) Calculos'!I54</f>
        <v/>
      </c>
      <c r="K11" s="236" t="str">
        <f>'5) Calculos'!M54</f>
        <v/>
      </c>
      <c r="L11" s="1113"/>
    </row>
    <row r="12" spans="2:12" x14ac:dyDescent="0.35">
      <c r="B12" s="231" t="str">
        <f>Language!A796</f>
        <v>Total personal de recolección segundaria</v>
      </c>
      <c r="C12" s="245">
        <f>'0) Intro'!F36</f>
        <v>0</v>
      </c>
      <c r="D12" s="244" t="e">
        <f>'5) Calculos'!C188+'5) Calculos'!C186</f>
        <v>#DIV/0!</v>
      </c>
      <c r="E12" s="245" t="e">
        <f>'5) Calculos'!D188+'5) Calculos'!D186</f>
        <v>#DIV/0!</v>
      </c>
      <c r="F12" s="244" t="e">
        <f>'5) Calculos'!E188+'5) Calculos'!E186</f>
        <v>#DIV/0!</v>
      </c>
      <c r="G12" s="245" t="e">
        <f>'5) Calculos'!F188+'5) Calculos'!F186</f>
        <v>#DIV/0!</v>
      </c>
      <c r="H12" s="244" t="e">
        <f>'5) Calculos'!G188+'5) Calculos'!G186</f>
        <v>#DIV/0!</v>
      </c>
      <c r="I12" s="245" t="e">
        <f>'5) Calculos'!H188+'5) Calculos'!H186</f>
        <v>#DIV/0!</v>
      </c>
      <c r="J12" s="244" t="e">
        <f>'5) Calculos'!I188+'5) Calculos'!I186</f>
        <v>#DIV/0!</v>
      </c>
      <c r="K12" s="236" t="e">
        <f>'5) Calculos'!M188+'5) Calculos'!M186</f>
        <v>#DIV/0!</v>
      </c>
      <c r="L12" s="1113"/>
    </row>
    <row r="13" spans="2:12" x14ac:dyDescent="0.35">
      <c r="B13" s="231" t="str">
        <f>Language!A797</f>
        <v>Total personal de transferencia y transporte</v>
      </c>
      <c r="C13" s="245">
        <f>'0) Intro'!F37</f>
        <v>0</v>
      </c>
      <c r="D13" s="244" t="e">
        <f>'5) Calculos'!C189+'5) Calculos'!C191+'5) Calculos'!C193</f>
        <v>#DIV/0!</v>
      </c>
      <c r="E13" s="245" t="e">
        <f>'5) Calculos'!D189+'5) Calculos'!D191+'5) Calculos'!D193</f>
        <v>#DIV/0!</v>
      </c>
      <c r="F13" s="244" t="e">
        <f>'5) Calculos'!E189+'5) Calculos'!E191+'5) Calculos'!E193</f>
        <v>#DIV/0!</v>
      </c>
      <c r="G13" s="245" t="e">
        <f>'5) Calculos'!F189+'5) Calculos'!F191+'5) Calculos'!F193</f>
        <v>#DIV/0!</v>
      </c>
      <c r="H13" s="244" t="e">
        <f>'5) Calculos'!G189+'5) Calculos'!G191+'5) Calculos'!G193</f>
        <v>#DIV/0!</v>
      </c>
      <c r="I13" s="245" t="e">
        <f>'5) Calculos'!H189+'5) Calculos'!H191+'5) Calculos'!H193</f>
        <v>#DIV/0!</v>
      </c>
      <c r="J13" s="244" t="e">
        <f>'5) Calculos'!I189+'5) Calculos'!I191+'5) Calculos'!I193</f>
        <v>#DIV/0!</v>
      </c>
      <c r="K13" s="245" t="e">
        <f>'5) Calculos'!M189+'5) Calculos'!M191+'5) Calculos'!M193</f>
        <v>#DIV/0!</v>
      </c>
      <c r="L13" s="1113"/>
    </row>
    <row r="14" spans="2:12" x14ac:dyDescent="0.35">
      <c r="B14" s="231" t="str">
        <f>Language!A798</f>
        <v>Personal de servicio de recolección total</v>
      </c>
      <c r="C14" s="236">
        <f>SUM(C11:C13)</f>
        <v>0</v>
      </c>
      <c r="D14" s="235" t="e">
        <f>SUM(D11:D13)</f>
        <v>#DIV/0!</v>
      </c>
      <c r="E14" s="246" t="e">
        <f t="shared" ref="E14:K14" si="0">SUM(E11:E13)</f>
        <v>#DIV/0!</v>
      </c>
      <c r="F14" s="235" t="e">
        <f t="shared" si="0"/>
        <v>#DIV/0!</v>
      </c>
      <c r="G14" s="246" t="e">
        <f t="shared" si="0"/>
        <v>#DIV/0!</v>
      </c>
      <c r="H14" s="235" t="e">
        <f t="shared" si="0"/>
        <v>#DIV/0!</v>
      </c>
      <c r="I14" s="236" t="e">
        <f t="shared" si="0"/>
        <v>#DIV/0!</v>
      </c>
      <c r="J14" s="235" t="e">
        <f t="shared" si="0"/>
        <v>#DIV/0!</v>
      </c>
      <c r="K14" s="236" t="e">
        <f t="shared" si="0"/>
        <v>#DIV/0!</v>
      </c>
      <c r="L14" s="1113"/>
    </row>
    <row r="15" spans="2:12" x14ac:dyDescent="0.35">
      <c r="B15" s="231" t="str">
        <f>Language!A799</f>
        <v>Cantidad de camiones de recolección</v>
      </c>
      <c r="C15" s="236">
        <f>'0) Intro'!F38</f>
        <v>0</v>
      </c>
      <c r="D15" s="235" t="e">
        <f>'5) Calculos'!C154</f>
        <v>#DIV/0!</v>
      </c>
      <c r="E15" s="236" t="e">
        <f>'5) Calculos'!D154</f>
        <v>#DIV/0!</v>
      </c>
      <c r="F15" s="235" t="e">
        <f>'5) Calculos'!E154</f>
        <v>#DIV/0!</v>
      </c>
      <c r="G15" s="236" t="e">
        <f>'5) Calculos'!F154</f>
        <v>#DIV/0!</v>
      </c>
      <c r="H15" s="235" t="e">
        <f>'5) Calculos'!G154</f>
        <v>#DIV/0!</v>
      </c>
      <c r="I15" s="236" t="e">
        <f>'5) Calculos'!H154</f>
        <v>#DIV/0!</v>
      </c>
      <c r="J15" s="235" t="e">
        <f>'5) Calculos'!I154</f>
        <v>#DIV/0!</v>
      </c>
      <c r="K15" s="236" t="e">
        <f>'5) Calculos'!M154</f>
        <v>#DIV/0!</v>
      </c>
      <c r="L15" s="1113"/>
    </row>
    <row r="16" spans="2:12" x14ac:dyDescent="0.35">
      <c r="B16" s="231" t="str">
        <f>Language!A800</f>
        <v>Cantidad de camiones de transporte</v>
      </c>
      <c r="C16" s="236">
        <f>'0) Intro'!F39</f>
        <v>0</v>
      </c>
      <c r="D16" s="235" t="e">
        <f>'5) Calculos'!C176</f>
        <v>#DIV/0!</v>
      </c>
      <c r="E16" s="236" t="e">
        <f>'5) Calculos'!D176</f>
        <v>#DIV/0!</v>
      </c>
      <c r="F16" s="235" t="e">
        <f>'5) Calculos'!E176</f>
        <v>#DIV/0!</v>
      </c>
      <c r="G16" s="236" t="e">
        <f>'5) Calculos'!F176</f>
        <v>#DIV/0!</v>
      </c>
      <c r="H16" s="235" t="e">
        <f>'5) Calculos'!G176</f>
        <v>#DIV/0!</v>
      </c>
      <c r="I16" s="236" t="e">
        <f>'5) Calculos'!H176</f>
        <v>#DIV/0!</v>
      </c>
      <c r="J16" s="235" t="e">
        <f>'5) Calculos'!I176</f>
        <v>#DIV/0!</v>
      </c>
      <c r="K16" s="236" t="e">
        <f>'5) Calculos'!M176</f>
        <v>#DIV/0!</v>
      </c>
      <c r="L16" s="1113"/>
    </row>
    <row r="17" spans="2:12" x14ac:dyDescent="0.35">
      <c r="B17" s="231" t="str">
        <f>Language!A801</f>
        <v>Cantidad de contenedores</v>
      </c>
      <c r="C17" s="110" t="s">
        <v>658</v>
      </c>
      <c r="D17" s="235">
        <v>0</v>
      </c>
      <c r="E17" s="236">
        <v>0</v>
      </c>
      <c r="F17" s="235">
        <v>0</v>
      </c>
      <c r="G17" s="236">
        <v>0</v>
      </c>
      <c r="H17" s="235" t="e">
        <f>'5) Calculos'!G94</f>
        <v>#DIV/0!</v>
      </c>
      <c r="I17" s="236" t="e">
        <f>'5) Calculos'!H94</f>
        <v>#DIV/0!</v>
      </c>
      <c r="J17" s="235" t="e">
        <f>'5) Calculos'!I94</f>
        <v>#DIV/0!</v>
      </c>
      <c r="K17" s="236" t="e">
        <f>'5) Calculos'!M94</f>
        <v>#DIV/0!</v>
      </c>
      <c r="L17" s="1113"/>
    </row>
    <row r="18" spans="2:12" x14ac:dyDescent="0.35">
      <c r="B18" s="231" t="str">
        <f>Language!A802</f>
        <v>Promedio anual de horas de uso de camión de recolección por día [h/día]</v>
      </c>
      <c r="C18" s="93"/>
      <c r="D18" s="237" t="e">
        <f>'5) Calculos'!C151*'3) Parametros_modelo'!$C$86*daysofwork*52/('5) Calculos'!C154*365)</f>
        <v>#DIV/0!</v>
      </c>
      <c r="E18" s="238" t="e">
        <f>'5) Calculos'!D151*'3) Parametros_modelo'!$C$86*daysofwork*52/('5) Calculos'!D154*365)</f>
        <v>#DIV/0!</v>
      </c>
      <c r="F18" s="237" t="e">
        <f>'5) Calculos'!E151*'3) Parametros_modelo'!$C$86*daysofwork*52/('5) Calculos'!E154*365)</f>
        <v>#DIV/0!</v>
      </c>
      <c r="G18" s="238" t="e">
        <f>'5) Calculos'!F151*'3) Parametros_modelo'!$C$86*daysofwork*52/('5) Calculos'!F154*365)</f>
        <v>#DIV/0!</v>
      </c>
      <c r="H18" s="237" t="e">
        <f>'5) Calculos'!G151*'3) Parametros_modelo'!$C$86*daysofwork*52/('5) Calculos'!G154*365)</f>
        <v>#DIV/0!</v>
      </c>
      <c r="I18" s="238" t="e">
        <f>'5) Calculos'!H151*'3) Parametros_modelo'!$C$86*daysofwork*52/('5) Calculos'!H154*365)</f>
        <v>#DIV/0!</v>
      </c>
      <c r="J18" s="237" t="e">
        <f>SUM('5) Calculos'!J151:L151)*'3) Parametros_modelo'!$C$86*daysofwork*52/('5) Calculos'!I154*365)</f>
        <v>#DIV/0!</v>
      </c>
      <c r="K18" s="238" t="e">
        <f>SUM('5) Calculos'!N151:P151)*'3) Parametros_modelo'!$C$86*daysofwork*52/('5) Calculos'!M154*365)</f>
        <v>#DIV/0!</v>
      </c>
      <c r="L18" s="1113"/>
    </row>
    <row r="19" spans="2:12" ht="15" thickBot="1" x14ac:dyDescent="0.4">
      <c r="B19" s="232" t="str">
        <f>Language!A803</f>
        <v>Toneladas anuales depositadas en sitio de disposición final [ton/año]</v>
      </c>
      <c r="C19" s="249">
        <f>'0) Intro'!F25</f>
        <v>0</v>
      </c>
      <c r="D19" s="247">
        <f>'5) Calculos'!C311</f>
        <v>0</v>
      </c>
      <c r="E19" s="248">
        <f>'5) Calculos'!D311</f>
        <v>0</v>
      </c>
      <c r="F19" s="247">
        <f>'5) Calculos'!E311</f>
        <v>0</v>
      </c>
      <c r="G19" s="248">
        <f>'5) Calculos'!F311</f>
        <v>0</v>
      </c>
      <c r="H19" s="247">
        <f>'5) Calculos'!G311</f>
        <v>0</v>
      </c>
      <c r="I19" s="248">
        <f>'5) Calculos'!H311</f>
        <v>0</v>
      </c>
      <c r="J19" s="247">
        <f>'5) Calculos'!I311</f>
        <v>0</v>
      </c>
      <c r="K19" s="248">
        <f>'5) Calculos'!M311</f>
        <v>0</v>
      </c>
      <c r="L19" s="1113"/>
    </row>
    <row r="20" spans="2:12" ht="15" thickBot="1" x14ac:dyDescent="0.4"/>
    <row r="21" spans="2:12" ht="21.5" thickBot="1" x14ac:dyDescent="0.55000000000000004">
      <c r="B21" s="284" t="str">
        <f>Language!A804</f>
        <v>Indicadores guía de diseño de servicios de aseo urbano</v>
      </c>
      <c r="C21" s="285"/>
      <c r="D21" s="285"/>
      <c r="E21" s="285"/>
      <c r="F21" s="285"/>
      <c r="G21" s="285"/>
      <c r="H21" s="285"/>
      <c r="I21" s="285"/>
      <c r="J21" s="285"/>
      <c r="K21" s="81"/>
    </row>
    <row r="22" spans="2:12" x14ac:dyDescent="0.35">
      <c r="B22" s="250" t="str">
        <f>Language!A805</f>
        <v>Habitantes servidos por empleados de recolección segundaria [hab/empleada/o]</v>
      </c>
      <c r="C22" s="251" t="str">
        <f>IF('0) Intro'!F36=0,"",population*coverage/'0) Intro'!F36)</f>
        <v/>
      </c>
      <c r="D22" s="252" t="e">
        <f>population*coverage/SUM('6) Anexos'!D12:D13)</f>
        <v>#DIV/0!</v>
      </c>
      <c r="E22" s="252" t="e">
        <f>population*coverage/SUM('6) Anexos'!E12:E13)</f>
        <v>#DIV/0!</v>
      </c>
      <c r="F22" s="252" t="e">
        <f>population*coverage/SUM('6) Anexos'!F12:F13)</f>
        <v>#DIV/0!</v>
      </c>
      <c r="G22" s="252" t="e">
        <f>population*coverage/SUM('6) Anexos'!G12:G13)</f>
        <v>#DIV/0!</v>
      </c>
      <c r="H22" s="252" t="e">
        <f>population*coverage/SUM('6) Anexos'!H12:H13)</f>
        <v>#DIV/0!</v>
      </c>
      <c r="I22" s="252" t="e">
        <f>population*coverage/SUM('6) Anexos'!I12:I13)</f>
        <v>#DIV/0!</v>
      </c>
      <c r="J22" s="252" t="e">
        <f>population*coverage/SUM('6) Anexos'!J12:J13)</f>
        <v>#DIV/0!</v>
      </c>
      <c r="K22" s="253" t="e">
        <f>population*coverage/SUM('6) Anexos'!K12:K13)</f>
        <v>#DIV/0!</v>
      </c>
    </row>
    <row r="23" spans="2:12" x14ac:dyDescent="0.35">
      <c r="B23" s="254" t="str">
        <f>Language!A806</f>
        <v>Eficiencia del servicio de barrido de vías [hab/empleada/o]</v>
      </c>
      <c r="C23" s="246" t="str">
        <f>IF('0) Intro'!$F$33=0,"",population*coverage/'0) Intro'!$F$33)</f>
        <v/>
      </c>
      <c r="D23" s="246" t="e">
        <f>population*coverage/SUM('5) Calculos'!C266,'5) Calculos'!C273,'5) Calculos'!C283)</f>
        <v>#DIV/0!</v>
      </c>
      <c r="E23" s="246" t="e">
        <f>population*coverage/SUM('5) Calculos'!D266,'5) Calculos'!D273,'5) Calculos'!D283)</f>
        <v>#DIV/0!</v>
      </c>
      <c r="F23" s="246" t="e">
        <f>population*coverage/SUM('5) Calculos'!E266,'5) Calculos'!E273,'5) Calculos'!E283)</f>
        <v>#DIV/0!</v>
      </c>
      <c r="G23" s="246" t="e">
        <f>population*coverage/SUM('5) Calculos'!F266,'5) Calculos'!F273,'5) Calculos'!F283)</f>
        <v>#DIV/0!</v>
      </c>
      <c r="H23" s="246" t="e">
        <f>population*coverage/SUM('5) Calculos'!G266,'5) Calculos'!G273,'5) Calculos'!G283)</f>
        <v>#DIV/0!</v>
      </c>
      <c r="I23" s="246" t="e">
        <f>population*coverage/SUM('5) Calculos'!H266,'5) Calculos'!H273,'5) Calculos'!H283)</f>
        <v>#DIV/0!</v>
      </c>
      <c r="J23" s="246" t="e">
        <f>population*coverage/SUM('5) Calculos'!I266,'5) Calculos'!I273,'5) Calculos'!I283)</f>
        <v>#DIV/0!</v>
      </c>
      <c r="K23" s="236" t="e">
        <f>population*coverage/SUM('5) Calculos'!M266,'5) Calculos'!M273,'5) Calculos'!M283)</f>
        <v>#DIV/0!</v>
      </c>
    </row>
    <row r="24" spans="2:12" x14ac:dyDescent="0.35">
      <c r="B24" s="254" t="str">
        <f>Language!A807</f>
        <v>Eficiencia del servicio de barrido de áreas públicas [hab/empleada/o]</v>
      </c>
      <c r="C24" s="246" t="str">
        <f>IF('0) Intro'!$F$34=0,"",population*coverage/'0) Intro'!$F$34)</f>
        <v/>
      </c>
      <c r="D24" s="246" t="e">
        <f>population*coverage/SUM('5) Calculos'!C281)</f>
        <v>#DIV/0!</v>
      </c>
      <c r="E24" s="246" t="e">
        <f>population*coverage/SUM('5) Calculos'!D281)</f>
        <v>#DIV/0!</v>
      </c>
      <c r="F24" s="246" t="e">
        <f>population*coverage/SUM('5) Calculos'!E281)</f>
        <v>#DIV/0!</v>
      </c>
      <c r="G24" s="246" t="e">
        <f>population*coverage/SUM('5) Calculos'!F281)</f>
        <v>#DIV/0!</v>
      </c>
      <c r="H24" s="246" t="e">
        <f>population*coverage/SUM('5) Calculos'!G281)</f>
        <v>#DIV/0!</v>
      </c>
      <c r="I24" s="246" t="e">
        <f>population*coverage/SUM('5) Calculos'!H281)</f>
        <v>#DIV/0!</v>
      </c>
      <c r="J24" s="246" t="e">
        <f>population*coverage/SUM('5) Calculos'!I281)</f>
        <v>#DIV/0!</v>
      </c>
      <c r="K24" s="236" t="e">
        <f>population*coverage/SUM('5) Calculos'!M281)</f>
        <v>#DIV/0!</v>
      </c>
    </row>
    <row r="25" spans="2:12" x14ac:dyDescent="0.35">
      <c r="B25" s="254" t="str">
        <f>Language!A808</f>
        <v>Toneladas por empleado de recolección convencional por día [t/día*empleado]</v>
      </c>
      <c r="C25" s="255" t="str">
        <f>IF(('0) Intro'!F36+'0) Intro'!F37)=0,"",'0) Intro'!F22/(('0) Intro'!F36+'0) Intro'!F37)*365))</f>
        <v/>
      </c>
      <c r="D25" s="255" t="e">
        <f>'5) Calculos'!C89/1000/SUM(D12:D13)</f>
        <v>#DIV/0!</v>
      </c>
      <c r="E25" s="255" t="e">
        <f>'5) Calculos'!D89/1000/SUM(E12:E13)</f>
        <v>#DIV/0!</v>
      </c>
      <c r="F25" s="255" t="e">
        <f>'5) Calculos'!E89/1000/SUM(F12:F13)</f>
        <v>#DIV/0!</v>
      </c>
      <c r="G25" s="255" t="e">
        <f>'5) Calculos'!F89/1000/SUM(G12:G13)</f>
        <v>#DIV/0!</v>
      </c>
      <c r="H25" s="255" t="e">
        <f>'5) Calculos'!G89/1000/SUM(H12:H13)</f>
        <v>#DIV/0!</v>
      </c>
      <c r="I25" s="255" t="e">
        <f>'5) Calculos'!H89/1000/SUM(I12:I13)</f>
        <v>#DIV/0!</v>
      </c>
      <c r="J25" s="255" t="e">
        <f>'5) Calculos'!I89/1000/SUM(J12:J13)</f>
        <v>#DIV/0!</v>
      </c>
      <c r="K25" s="256" t="e">
        <f>'5) Calculos'!M89/1000/SUM(K12:K13)</f>
        <v>#DIV/0!</v>
      </c>
      <c r="L25"/>
    </row>
    <row r="26" spans="2:12" ht="29" x14ac:dyDescent="0.35">
      <c r="B26" s="254" t="str">
        <f>Language!A809</f>
        <v>Eficiencia del personal en barrido de calles [km/persona*día]</v>
      </c>
      <c r="C26" s="257" t="str">
        <f>IF('0) Intro'!$F$33="","",'0) Intro'!F29/('0) Intro'!$F$33*365))</f>
        <v/>
      </c>
      <c r="D26" s="258">
        <f>'3) Parametros_modelo'!$C$146</f>
        <v>0</v>
      </c>
      <c r="E26" s="258">
        <f>'3) Parametros_modelo'!$C$146</f>
        <v>0</v>
      </c>
      <c r="F26" s="258">
        <f>'3) Parametros_modelo'!$C$146</f>
        <v>0</v>
      </c>
      <c r="G26" s="258">
        <f>'3) Parametros_modelo'!$C$146</f>
        <v>0</v>
      </c>
      <c r="H26" s="258">
        <f>'3) Parametros_modelo'!$C$146</f>
        <v>0</v>
      </c>
      <c r="I26" s="258">
        <f>'3) Parametros_modelo'!$C$146</f>
        <v>0</v>
      </c>
      <c r="J26" s="258">
        <f>'3) Parametros_modelo'!$C$146</f>
        <v>0</v>
      </c>
      <c r="K26" s="259">
        <f>'3) Parametros_modelo'!$C$146</f>
        <v>0</v>
      </c>
      <c r="L26" s="104" t="str">
        <f>Language!A826</f>
        <v>Considera barrido manual para escenarios</v>
      </c>
    </row>
    <row r="27" spans="2:12" x14ac:dyDescent="0.35">
      <c r="B27" s="254" t="str">
        <f>Language!A810</f>
        <v>Eficiencia del personal en barrido de áreas públicas [m2/persona*día]</v>
      </c>
      <c r="C27" s="257" t="str">
        <f>IF('0) Intro'!$F$34="","",'0) Intro'!F32/('0) Intro'!$F$34*365))</f>
        <v/>
      </c>
      <c r="D27" s="258">
        <f>'3) Parametros_modelo'!$C$161*1000000</f>
        <v>0</v>
      </c>
      <c r="E27" s="258">
        <f>'3) Parametros_modelo'!$C$161*1000000</f>
        <v>0</v>
      </c>
      <c r="F27" s="258">
        <f>'3) Parametros_modelo'!$C$161*1000000</f>
        <v>0</v>
      </c>
      <c r="G27" s="258">
        <f>'3) Parametros_modelo'!$C$161*1000000</f>
        <v>0</v>
      </c>
      <c r="H27" s="258">
        <f>'3) Parametros_modelo'!$C$161*1000000</f>
        <v>0</v>
      </c>
      <c r="I27" s="258">
        <f>'3) Parametros_modelo'!$C$161*1000000</f>
        <v>0</v>
      </c>
      <c r="J27" s="258">
        <f>'3) Parametros_modelo'!$C$161*1000000</f>
        <v>0</v>
      </c>
      <c r="K27" s="259">
        <f>'3) Parametros_modelo'!$C$161*1000000</f>
        <v>0</v>
      </c>
    </row>
    <row r="28" spans="2:12" ht="15" thickBot="1" x14ac:dyDescent="0.4">
      <c r="B28" s="260" t="str">
        <f>Language!A811</f>
        <v>Costo por usuario [$$$/hab*año]</v>
      </c>
      <c r="C28" s="261" t="str">
        <f>IFERROR('4) Resultados'!AW18/(population*coverage),"")</f>
        <v/>
      </c>
      <c r="D28" s="261" t="str">
        <f>IFERROR('5) Calculos'!C307/(population*coverage),"")</f>
        <v/>
      </c>
      <c r="E28" s="261" t="str">
        <f>IFERROR('5) Calculos'!D307/(population*coverage),"")</f>
        <v/>
      </c>
      <c r="F28" s="261" t="str">
        <f>IFERROR('5) Calculos'!E307/(population*coverage),"")</f>
        <v/>
      </c>
      <c r="G28" s="261" t="str">
        <f>IFERROR('5) Calculos'!F307/(population*coverage),"")</f>
        <v/>
      </c>
      <c r="H28" s="261" t="str">
        <f>IFERROR('5) Calculos'!G307/(population*coverage),"")</f>
        <v/>
      </c>
      <c r="I28" s="261" t="str">
        <f>IFERROR('5) Calculos'!H307/(population*coverage),"")</f>
        <v/>
      </c>
      <c r="J28" s="261" t="str">
        <f>IFERROR('5) Calculos'!I307/(population*coverage),"")</f>
        <v/>
      </c>
      <c r="K28" s="262" t="str">
        <f>IFERROR('5) Calculos'!M307/(population*coverage),"")</f>
        <v/>
      </c>
    </row>
    <row r="29" spans="2:12" ht="15" thickBot="1" x14ac:dyDescent="0.4"/>
    <row r="30" spans="2:12" ht="21.5" thickBot="1" x14ac:dyDescent="0.55000000000000004">
      <c r="B30" s="286" t="str">
        <f>Language!A812</f>
        <v>Indicadores Helvetas</v>
      </c>
      <c r="C30" s="285"/>
      <c r="D30" s="285"/>
      <c r="E30" s="285"/>
      <c r="F30" s="285"/>
      <c r="G30" s="285"/>
      <c r="H30" s="285"/>
      <c r="I30" s="285"/>
      <c r="J30" s="285"/>
      <c r="K30" s="81"/>
    </row>
    <row r="31" spans="2:12" x14ac:dyDescent="0.35">
      <c r="B31" s="263" t="str">
        <f>Language!A813</f>
        <v>Cobertura del servicio de barrido de vías [%]</v>
      </c>
      <c r="C31" s="264" t="str">
        <f>IF('0) Intro'!$F$27="","",'0) Intro'!$F$28/'0) Intro'!$F$27)</f>
        <v/>
      </c>
      <c r="D31" s="265" t="str">
        <f>IF('0) Intro'!$F$27="","",SUM('3) Parametros_modelo'!$C$144,'3) Parametros_modelo'!$C$150)/'0) Intro'!$F$27)</f>
        <v/>
      </c>
      <c r="E31" s="265" t="str">
        <f>IF('0) Intro'!$F$27="","",SUM('3) Parametros_modelo'!$C$144,'3) Parametros_modelo'!$C$150)/'0) Intro'!$F$27)</f>
        <v/>
      </c>
      <c r="F31" s="265" t="str">
        <f>IF('0) Intro'!$F$27="","",SUM('3) Parametros_modelo'!$C$144,'3) Parametros_modelo'!$C$150)/'0) Intro'!$F$27)</f>
        <v/>
      </c>
      <c r="G31" s="265" t="str">
        <f>IF('0) Intro'!$F$27="","",SUM('3) Parametros_modelo'!$C$144,'3) Parametros_modelo'!$C$150)/'0) Intro'!$F$27)</f>
        <v/>
      </c>
      <c r="H31" s="265" t="str">
        <f>IF('0) Intro'!$F$27="","",SUM('3) Parametros_modelo'!$C$144,'3) Parametros_modelo'!$C$150)/'0) Intro'!$F$27)</f>
        <v/>
      </c>
      <c r="I31" s="265" t="str">
        <f>IF('0) Intro'!$F$27="","",SUM('3) Parametros_modelo'!$C$144,'3) Parametros_modelo'!$C$150)/'0) Intro'!$F$27)</f>
        <v/>
      </c>
      <c r="J31" s="265" t="str">
        <f>IF('0) Intro'!$F$27="","",SUM('3) Parametros_modelo'!$C$144,'3) Parametros_modelo'!$C$150)/'0) Intro'!$F$27)</f>
        <v/>
      </c>
      <c r="K31" s="266" t="str">
        <f>IF('0) Intro'!$F$27="","",SUM('3) Parametros_modelo'!$C$144,'3) Parametros_modelo'!$C$150)/'0) Intro'!$F$27)</f>
        <v/>
      </c>
    </row>
    <row r="32" spans="2:12" x14ac:dyDescent="0.35">
      <c r="B32" s="267" t="str">
        <f>Language!A814</f>
        <v>Cobertura del servicio de barrido de áreas públicas [%]</v>
      </c>
      <c r="C32" s="268" t="str">
        <f>IF('0) Intro'!$F$30="","",'0) Intro'!$F$31/'0) Intro'!$F$30)</f>
        <v/>
      </c>
      <c r="D32" s="269" t="str">
        <f>IF('0) Intro'!$F$30="","",'3) Parametros_modelo'!$C$157/'0) Intro'!$F$30)</f>
        <v/>
      </c>
      <c r="E32" s="269" t="str">
        <f>IF('0) Intro'!$F$30="","",'3) Parametros_modelo'!$C$157/'0) Intro'!$F$30)</f>
        <v/>
      </c>
      <c r="F32" s="269" t="str">
        <f>IF('0) Intro'!$F$30="","",'3) Parametros_modelo'!$C$157/'0) Intro'!$F$30)</f>
        <v/>
      </c>
      <c r="G32" s="269" t="str">
        <f>IF('0) Intro'!$F$30="","",'3) Parametros_modelo'!$C$157/'0) Intro'!$F$30)</f>
        <v/>
      </c>
      <c r="H32" s="269" t="str">
        <f>IF('0) Intro'!$F$30="","",'3) Parametros_modelo'!$C$157/'0) Intro'!$F$30)</f>
        <v/>
      </c>
      <c r="I32" s="269" t="str">
        <f>IF('0) Intro'!$F$30="","",'3) Parametros_modelo'!$C$157/'0) Intro'!$F$30)</f>
        <v/>
      </c>
      <c r="J32" s="269" t="str">
        <f>IF('0) Intro'!$F$30="","",'3) Parametros_modelo'!$C$157/'0) Intro'!$F$30)</f>
        <v/>
      </c>
      <c r="K32" s="270" t="str">
        <f>IF('0) Intro'!$F$30="","",'3) Parametros_modelo'!$C$157/'0) Intro'!$F$30)</f>
        <v/>
      </c>
    </row>
    <row r="33" spans="1:13" x14ac:dyDescent="0.35">
      <c r="B33" s="267" t="str">
        <f>Language!A815</f>
        <v>Cobertura del servicio de recolección [%]</v>
      </c>
      <c r="C33" s="268" t="str">
        <f>IF(coverage="","",coverage)</f>
        <v/>
      </c>
      <c r="D33" s="225">
        <f>'3) Parametros_modelo'!$C$11</f>
        <v>0</v>
      </c>
      <c r="E33" s="225">
        <f>'3) Parametros_modelo'!$C$11</f>
        <v>0</v>
      </c>
      <c r="F33" s="225">
        <f>'3) Parametros_modelo'!$C$11</f>
        <v>0</v>
      </c>
      <c r="G33" s="225">
        <f>'3) Parametros_modelo'!$C$11</f>
        <v>0</v>
      </c>
      <c r="H33" s="225">
        <f>'3) Parametros_modelo'!$C$11</f>
        <v>0</v>
      </c>
      <c r="I33" s="225">
        <f>'3) Parametros_modelo'!$C$11</f>
        <v>0</v>
      </c>
      <c r="J33" s="225">
        <f>'3) Parametros_modelo'!$C$11</f>
        <v>0</v>
      </c>
      <c r="K33" s="241">
        <f>'3) Parametros_modelo'!$C$11</f>
        <v>0</v>
      </c>
    </row>
    <row r="34" spans="1:13" x14ac:dyDescent="0.35">
      <c r="B34" s="267" t="str">
        <f>Language!A816</f>
        <v>Porcentaje de residuos recolectados del total generado en el área con cobertura [%]</v>
      </c>
      <c r="C34" s="268" t="str">
        <f>IF('0) Intro'!$F$22="","",'0) Intro'!$F$22/('5) Calculos'!C88*365/1000))</f>
        <v/>
      </c>
      <c r="D34" s="271">
        <v>1</v>
      </c>
      <c r="E34" s="271">
        <v>1</v>
      </c>
      <c r="F34" s="271">
        <v>1</v>
      </c>
      <c r="G34" s="271">
        <v>1</v>
      </c>
      <c r="H34" s="271">
        <v>1</v>
      </c>
      <c r="I34" s="271">
        <v>1</v>
      </c>
      <c r="J34" s="271">
        <v>1</v>
      </c>
      <c r="K34" s="272">
        <v>1</v>
      </c>
    </row>
    <row r="35" spans="1:13" x14ac:dyDescent="0.35">
      <c r="B35" s="267" t="str">
        <f>Language!A817</f>
        <v>Porcentaje de residuos totales aprovechados [% de total recolectado]</v>
      </c>
      <c r="C35" s="268" t="str">
        <f>IF('0) Intro'!$F$22="","",SUM('0) Intro'!$F$23:$F$24)/'0) Intro'!$F$22)</f>
        <v/>
      </c>
      <c r="D35" s="273" t="e">
        <f>SUM('4) Resultados'!CD70:CD71)/'4) Resultados'!CD69</f>
        <v>#DIV/0!</v>
      </c>
      <c r="E35" s="273" t="e">
        <f>SUM('4) Resultados'!CF70:CF71)/'4) Resultados'!CF69</f>
        <v>#DIV/0!</v>
      </c>
      <c r="F35" s="273" t="e">
        <f>SUM('4) Resultados'!CH70:CH71)/'4) Resultados'!CH69</f>
        <v>#DIV/0!</v>
      </c>
      <c r="G35" s="273" t="e">
        <f>SUM('4) Resultados'!CJ70:CJ71)/'4) Resultados'!CJ69</f>
        <v>#DIV/0!</v>
      </c>
      <c r="H35" s="273" t="e">
        <f>SUM('4) Resultados'!CL70:CL71)/'4) Resultados'!CL69</f>
        <v>#DIV/0!</v>
      </c>
      <c r="I35" s="273" t="e">
        <f>SUM('4) Resultados'!CN70:CN71)/'4) Resultados'!CN69</f>
        <v>#DIV/0!</v>
      </c>
      <c r="J35" s="268" t="e">
        <f>SUM('4) Resultados'!CP70:CP71)/SUM('4) Resultados'!CP69:CP71)</f>
        <v>#DIV/0!</v>
      </c>
      <c r="K35" s="274" t="e">
        <f>SUM('4) Resultados'!CR70:CR71)/SUM('4) Resultados'!CR69:CR71)</f>
        <v>#DIV/0!</v>
      </c>
    </row>
    <row r="36" spans="1:13" x14ac:dyDescent="0.35">
      <c r="B36" s="267" t="str">
        <f>Language!A818</f>
        <v>orgánicos [% del total recolectado]</v>
      </c>
      <c r="C36" s="268" t="str">
        <f>IF('0) Intro'!$F$22="","",'0) Intro'!$F$23/'0) Intro'!$F$22)</f>
        <v/>
      </c>
      <c r="D36" s="273">
        <v>0</v>
      </c>
      <c r="E36" s="273">
        <v>0</v>
      </c>
      <c r="F36" s="273">
        <v>0</v>
      </c>
      <c r="G36" s="273">
        <v>0</v>
      </c>
      <c r="H36" s="273">
        <v>0</v>
      </c>
      <c r="I36" s="273">
        <v>0</v>
      </c>
      <c r="J36" s="268" t="e">
        <f>'4) Resultados'!CP70/SUM('4) Resultados'!$CP$69:$CP$71)</f>
        <v>#DIV/0!</v>
      </c>
      <c r="K36" s="274" t="e">
        <f>'4) Resultados'!CR70/SUM('4) Resultados'!$CR$69:$CR$71)</f>
        <v>#DIV/0!</v>
      </c>
    </row>
    <row r="37" spans="1:13" x14ac:dyDescent="0.35">
      <c r="B37" s="267" t="str">
        <f>Language!A819</f>
        <v>Reciclables [% del total recolectado]</v>
      </c>
      <c r="C37" s="268" t="str">
        <f>IF('0) Intro'!$F$22="","",'0) Intro'!$F$24/'0) Intro'!$F$22)</f>
        <v/>
      </c>
      <c r="D37" s="273">
        <v>0</v>
      </c>
      <c r="E37" s="273">
        <v>0</v>
      </c>
      <c r="F37" s="273">
        <v>0</v>
      </c>
      <c r="G37" s="273">
        <v>0</v>
      </c>
      <c r="H37" s="273">
        <v>0</v>
      </c>
      <c r="I37" s="273">
        <v>0</v>
      </c>
      <c r="J37" s="268" t="e">
        <f>'4) Resultados'!CP71/SUM('4) Resultados'!$CP$69:$CP$71)</f>
        <v>#DIV/0!</v>
      </c>
      <c r="K37" s="274" t="e">
        <f>'4) Resultados'!CR71/SUM('4) Resultados'!$CR$69:$CR$71)</f>
        <v>#DIV/0!</v>
      </c>
    </row>
    <row r="38" spans="1:13" s="1" customFormat="1" x14ac:dyDescent="0.35">
      <c r="A38" s="76"/>
      <c r="B38" s="267" t="str">
        <f>Language!A820</f>
        <v>Residuos dispuestos de forma sanitariamente segura [% de total recolectado]</v>
      </c>
      <c r="C38" s="275" t="str">
        <f>IF('0) Intro'!$F$22="","",'0) Intro'!$F$25/'0) Intro'!$F$22)</f>
        <v/>
      </c>
      <c r="D38" s="276">
        <v>1</v>
      </c>
      <c r="E38" s="276">
        <v>1</v>
      </c>
      <c r="F38" s="276">
        <v>1</v>
      </c>
      <c r="G38" s="276">
        <v>1</v>
      </c>
      <c r="H38" s="276">
        <v>1</v>
      </c>
      <c r="I38" s="276">
        <v>1</v>
      </c>
      <c r="J38" s="276" t="e">
        <f>100%-J35</f>
        <v>#DIV/0!</v>
      </c>
      <c r="K38" s="277" t="e">
        <f>100%-K35</f>
        <v>#DIV/0!</v>
      </c>
      <c r="L38" s="76"/>
      <c r="M38" s="76"/>
    </row>
    <row r="39" spans="1:13" s="1" customFormat="1" ht="15.75" customHeight="1" thickBot="1" x14ac:dyDescent="0.4">
      <c r="A39" s="76"/>
      <c r="B39" s="278" t="str">
        <f>Language!A821</f>
        <v>Residuos recolectados no gestionados de forma segura [% del total recolectado]</v>
      </c>
      <c r="C39" s="279" t="str">
        <f>IF('0) Intro'!$F$22="","",100%-C38-C36-C37)</f>
        <v/>
      </c>
      <c r="D39" s="280">
        <v>0</v>
      </c>
      <c r="E39" s="280">
        <v>0</v>
      </c>
      <c r="F39" s="280">
        <v>0</v>
      </c>
      <c r="G39" s="280">
        <v>0</v>
      </c>
      <c r="H39" s="280">
        <v>0</v>
      </c>
      <c r="I39" s="280">
        <v>0</v>
      </c>
      <c r="J39" s="280">
        <v>0</v>
      </c>
      <c r="K39" s="281">
        <v>0</v>
      </c>
      <c r="L39" s="76"/>
      <c r="M39" s="76"/>
    </row>
    <row r="40" spans="1:13" ht="15" thickBot="1" x14ac:dyDescent="0.4"/>
    <row r="41" spans="1:13" ht="21" x14ac:dyDescent="0.5">
      <c r="B41" s="286" t="str">
        <f>Language!A822</f>
        <v>Indicadores de aprovechamiento de residuos</v>
      </c>
      <c r="C41" s="285"/>
      <c r="D41" s="285"/>
      <c r="E41" s="285"/>
      <c r="F41" s="285"/>
      <c r="G41" s="285"/>
      <c r="H41" s="285"/>
      <c r="I41" s="285"/>
      <c r="J41" s="285"/>
      <c r="K41" s="81"/>
    </row>
    <row r="42" spans="1:13" x14ac:dyDescent="0.35">
      <c r="B42" s="267" t="str">
        <f>Language!A823</f>
        <v>orgánicos aprovechados [% del total de orgánicos recolectados]</v>
      </c>
      <c r="C42" s="268" t="e">
        <f>'0) Intro'!F23/(365*'5) Calculos'!I88*'3) Parametros_modelo'!$C$21/1000)</f>
        <v>#DIV/0!</v>
      </c>
      <c r="D42" s="102"/>
      <c r="E42" s="102"/>
      <c r="F42" s="102"/>
      <c r="G42" s="102"/>
      <c r="H42" s="102"/>
      <c r="I42" s="102"/>
      <c r="J42" s="268" t="e">
        <f>'5) Calculos'!I312*1000/(365*'5) Calculos'!I88*'3) Parametros_modelo'!$C$21)</f>
        <v>#DIV/0!</v>
      </c>
      <c r="K42" s="274" t="e">
        <f>'5) Calculos'!M312*1000/(365*'5) Calculos'!M88*'3) Parametros_modelo'!$C$21)</f>
        <v>#DIV/0!</v>
      </c>
    </row>
    <row r="43" spans="1:13" ht="15" thickBot="1" x14ac:dyDescent="0.4">
      <c r="B43" s="278" t="str">
        <f>Language!A824</f>
        <v>Reciclables aprovechados [% del total de reciclables recolectados]</v>
      </c>
      <c r="C43" s="282" t="e">
        <f>'0) Intro'!F24/(365*'5) Calculos'!I88*SUM('3) Parametros_modelo'!C22:C25)/1000)</f>
        <v>#DIV/0!</v>
      </c>
      <c r="D43" s="103"/>
      <c r="E43" s="103"/>
      <c r="F43" s="103"/>
      <c r="G43" s="103"/>
      <c r="H43" s="103"/>
      <c r="I43" s="103"/>
      <c r="J43" s="282" t="e">
        <f>'5) Calculos'!I313*1000/(365*'5) Calculos'!I88*SUM('3) Parametros_modelo'!C22:C25))</f>
        <v>#DIV/0!</v>
      </c>
      <c r="K43" s="283" t="e">
        <f>'5) Calculos'!M313*1000/(365*'5) Calculos'!M88*SUM('3) Parametros_modelo'!C22:C25))</f>
        <v>#DIV/0!</v>
      </c>
    </row>
    <row r="44" spans="1:13" x14ac:dyDescent="0.35">
      <c r="B44" s="68"/>
    </row>
    <row r="45" spans="1:13" x14ac:dyDescent="0.35"/>
    <row r="46" spans="1:13" x14ac:dyDescent="0.35"/>
    <row r="47" spans="1:13" x14ac:dyDescent="0.35">
      <c r="A47"/>
      <c r="L47"/>
    </row>
    <row r="48" spans="1:13"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sheetData>
  <sheetProtection algorithmName="SHA-512" hashValue="yD+NDuOSW37S9AQmBQ6WqlbBJz996FYWFu2c5wH80L0J8xr/+kNh4Mwi8GemZAxaaSGReD4BFzRnBGhIhGWMVA==" saltValue="QUbOB5+5oOt85jmqx3rUOA==" spinCount="100000" sheet="1" formatCells="0" formatColumns="0" formatRows="0" insertColumns="0" insertRows="0" insertHyperlinks="0" deleteColumns="0" deleteRows="0" sort="0" autoFilter="0" pivotTables="0"/>
  <mergeCells count="6">
    <mergeCell ref="L4:L19"/>
    <mergeCell ref="C2:C3"/>
    <mergeCell ref="F2:G2"/>
    <mergeCell ref="H2:I2"/>
    <mergeCell ref="J2:K2"/>
    <mergeCell ref="D2:E2"/>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e I n J U u Y h O u W o A A A A + A A A A B I A H A B D b 2 5 m a W c v U G F j a 2 F n Z S 5 4 b W w g o h g A K K A U A A A A A A A A A A A A A A A A A A A A A A A A A A A A h Y 9 N D o I w G E S v Q r q n f y p R 8 1 E W b F x I Y m J i 3 D Z Q o R G K o c V y N x c e y S t I o q g 7 l z N 5 k 7 x 5 3 O 6 Q D E 0 d X F V n d W t i x D B F g T J 5 W 2 h T x q h 3 p 3 C J E g E 7 m Z 9 l q Y I R N n Y 9 W B 2 j y r n L m h D v P f Y z 3 H Y l 4 Z Q y c s y 2 + 7 x S j Q y 1 s U 6 a X K H P q v i / Q g I O L x n B c c T w g q 0 4 n k c M y F R D p s 0 X 4 a M x p k B + S k j 7 2 v W d E o U K 0 w 2 Q K Q J 5 v x B P U E s D B B Q A A g A I A H i J y V 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4 i c l S K I p H u A 4 A A A A R A A A A E w A c A E Z v c m 1 1 b G F z L 1 N l Y 3 R p b 2 4 x L m 0 g o h g A K K A U A A A A A A A A A A A A A A A A A A A A A A A A A A A A K 0 5 N L s n M z 1 M I h t C G 1 g B Q S w E C L Q A U A A I A C A B 4 i c l S 5 i E 6 5 a g A A A D 4 A A A A E g A A A A A A A A A A A A A A A A A A A A A A Q 2 9 u Z m l n L 1 B h Y 2 t h Z 2 U u e G 1 s U E s B A i 0 A F A A C A A g A e I n J U g / K 6 a u k A A A A 6 Q A A A B M A A A A A A A A A A A A A A A A A 9 A A A A F t D b 2 5 0 Z W 5 0 X 1 R 5 c G V z X S 5 4 b W x Q S w E C L Q A U A A I A C A B 4 i c l S 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H x l z u p e H 0 C g E a j O s E Y R V Q A A A A A C A A A A A A A D Z g A A w A A A A B A A A A B Y 9 d s Q j u K E K K h f 9 Q u k g v O 1 A A A A A A S A A A C g A A A A E A A A A C j c 6 0 b r h 0 L g Z D 9 j V q k E + z x Q A A A A i r f 6 2 4 1 G X H 6 u 3 j R 2 1 4 Q v k L D h L Q F i y H M R i 8 j H b u w l u P W c I B e l L V n K d f w M S C j x c X 0 p V z c E x m c x s F r O H M f E s I B U F i i 1 U s 5 5 A C M R b z 1 A I v O Y 0 o o U A A A A L H y 0 G D u X h Y o m 1 R A j R o R 0 E w 8 6 d t w = < / D a t a M a s h u p > 
</file>

<file path=customXml/itemProps1.xml><?xml version="1.0" encoding="utf-8"?>
<ds:datastoreItem xmlns:ds="http://schemas.openxmlformats.org/officeDocument/2006/customXml" ds:itemID="{20AA4FE5-CEBE-466F-BB0D-B655B9B466B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14</vt:i4>
      </vt:variant>
      <vt:variant>
        <vt:lpstr>Named Ranges</vt:lpstr>
      </vt:variant>
      <vt:variant>
        <vt:i4>19</vt:i4>
      </vt:variant>
    </vt:vector>
  </HeadingPairs>
  <TitlesOfParts>
    <vt:vector size="33" baseType="lpstr">
      <vt:lpstr>Info</vt:lpstr>
      <vt:lpstr>0) Guía</vt:lpstr>
      <vt:lpstr>0) Intro</vt:lpstr>
      <vt:lpstr>1) Costos</vt:lpstr>
      <vt:lpstr>2) Ingresos</vt:lpstr>
      <vt:lpstr>3) Parametros_modelo</vt:lpstr>
      <vt:lpstr>4) Resultados</vt:lpstr>
      <vt:lpstr>5) Calculos</vt:lpstr>
      <vt:lpstr>6) Anexos</vt:lpstr>
      <vt:lpstr>Language</vt:lpstr>
      <vt:lpstr>Pass</vt:lpstr>
      <vt:lpstr>Typical_costs</vt:lpstr>
      <vt:lpstr>Graphgen</vt:lpstr>
      <vt:lpstr>Modificaciones</vt:lpstr>
      <vt:lpstr>coverage</vt:lpstr>
      <vt:lpstr>daycapgeneration</vt:lpstr>
      <vt:lpstr>daysofgeneration</vt:lpstr>
      <vt:lpstr>daysofwork</vt:lpstr>
      <vt:lpstr>Dcapgeneration</vt:lpstr>
      <vt:lpstr>densidadcarretera</vt:lpstr>
      <vt:lpstr>factordistancia</vt:lpstr>
      <vt:lpstr>HHsize</vt:lpstr>
      <vt:lpstr>HHWorkdaywastemanaged</vt:lpstr>
      <vt:lpstr>otherwastefraction</vt:lpstr>
      <vt:lpstr>pobequivalente</vt:lpstr>
      <vt:lpstr>population</vt:lpstr>
      <vt:lpstr>Superficie</vt:lpstr>
      <vt:lpstr>tasacompactacionrecoleccion</vt:lpstr>
      <vt:lpstr>tasarecoleccion</vt:lpstr>
      <vt:lpstr>totaldaygeneration</vt:lpstr>
      <vt:lpstr>totaldayHHgeneration</vt:lpstr>
      <vt:lpstr>totaldayHHtobecollected</vt:lpstr>
      <vt:lpstr>totaldaytobecollected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Eddy Lemus</dc:creator>
  <cp:lastModifiedBy>Tosi Robinson, Dorian</cp:lastModifiedBy>
  <cp:lastPrinted>2021-11-19T15:13:43Z</cp:lastPrinted>
  <dcterms:created xsi:type="dcterms:W3CDTF">2015-06-05T18:19:34Z</dcterms:created>
  <dcterms:modified xsi:type="dcterms:W3CDTF">2023-02-16T12:34:39Z</dcterms:modified>
</cp:coreProperties>
</file>