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2930afeda8c8c1e/Escritorio/YALPÉMECH/NAVIDAD/INFORME NAVIDAD/DOCUMENTOS ESTUDIO/INFORME VM/ARCHIVO EDITABLES/"/>
    </mc:Choice>
  </mc:AlternateContent>
  <xr:revisionPtr revIDLastSave="17" documentId="8_{5AC5D650-57F8-46AA-BC1E-62815555D172}" xr6:coauthVersionLast="47" xr6:coauthVersionMax="47" xr10:uidLastSave="{43746B4E-809F-4A08-98ED-8A9958A2B427}"/>
  <bookViews>
    <workbookView xWindow="-108" yWindow="-108" windowWidth="23256" windowHeight="12456" tabRatio="39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1" l="1"/>
  <c r="J83" i="1" s="1"/>
  <c r="N83" i="1" s="1"/>
  <c r="L79" i="1"/>
  <c r="L80" i="1" s="1"/>
  <c r="L78" i="1"/>
  <c r="L81" i="1" s="1"/>
  <c r="L75" i="1"/>
  <c r="L76" i="1" s="1"/>
  <c r="L77" i="1" s="1"/>
  <c r="L73" i="1"/>
  <c r="L74" i="1" s="1"/>
  <c r="J68" i="1"/>
  <c r="Q69" i="1" s="1"/>
  <c r="P71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7" i="1"/>
  <c r="H77" i="1" s="1"/>
  <c r="G78" i="1"/>
  <c r="H78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68" i="1"/>
  <c r="H68" i="1" s="1"/>
  <c r="G67" i="1"/>
  <c r="H67" i="1" s="1"/>
  <c r="G69" i="1"/>
  <c r="H69" i="1" s="1"/>
  <c r="D81" i="1"/>
  <c r="D80" i="1"/>
  <c r="D79" i="1"/>
  <c r="D78" i="1"/>
  <c r="D77" i="1"/>
  <c r="D76" i="1"/>
  <c r="D75" i="1"/>
  <c r="D74" i="1"/>
  <c r="D73" i="1"/>
  <c r="D72" i="1"/>
  <c r="D71" i="1"/>
  <c r="D69" i="1"/>
  <c r="D68" i="1"/>
  <c r="B79" i="1"/>
  <c r="B80" i="1" s="1"/>
  <c r="B73" i="1"/>
  <c r="B74" i="1" s="1"/>
  <c r="B72" i="1"/>
  <c r="B67" i="1"/>
  <c r="L72" i="1"/>
  <c r="L68" i="1"/>
  <c r="L69" i="1" s="1"/>
  <c r="B68" i="1"/>
  <c r="B69" i="1" s="1"/>
  <c r="Q67" i="1"/>
  <c r="P68" i="1" s="1"/>
  <c r="P69" i="1" s="1"/>
  <c r="L67" i="1"/>
  <c r="N67" i="1" s="1"/>
  <c r="K67" i="1"/>
  <c r="Q84" i="1" l="1"/>
  <c r="L71" i="1"/>
  <c r="Q83" i="1"/>
  <c r="J82" i="1"/>
  <c r="J84" i="1"/>
  <c r="Q75" i="1"/>
  <c r="Q79" i="1"/>
  <c r="Q73" i="1"/>
  <c r="P75" i="1" s="1"/>
  <c r="P76" i="1" s="1"/>
  <c r="Q77" i="1"/>
  <c r="P78" i="1" s="1"/>
  <c r="P80" i="1" s="1"/>
  <c r="P82" i="1" s="1"/>
  <c r="P84" i="1" s="1"/>
  <c r="Q81" i="1"/>
  <c r="Q71" i="1"/>
  <c r="P72" i="1" s="1"/>
  <c r="P77" i="1" s="1"/>
  <c r="P79" i="1" s="1"/>
  <c r="P81" i="1" s="1"/>
  <c r="P83" i="1" s="1"/>
  <c r="Q68" i="1"/>
  <c r="Q72" i="1"/>
  <c r="P73" i="1" s="1"/>
  <c r="P74" i="1" s="1"/>
  <c r="Q74" i="1"/>
  <c r="Q76" i="1"/>
  <c r="Q78" i="1"/>
  <c r="Q80" i="1"/>
  <c r="Q82" i="1"/>
  <c r="K83" i="1"/>
  <c r="O83" i="1" s="1"/>
  <c r="J69" i="1"/>
  <c r="K69" i="1" s="1"/>
  <c r="O67" i="1"/>
  <c r="N68" i="1" s="1"/>
  <c r="N69" i="1" s="1"/>
  <c r="K68" i="1"/>
  <c r="O68" i="1" s="1"/>
  <c r="K84" i="1" l="1"/>
  <c r="O84" i="1" s="1"/>
  <c r="N84" i="1"/>
  <c r="O69" i="1"/>
  <c r="K71" i="1" l="1"/>
  <c r="N71" i="1"/>
  <c r="J72" i="1" l="1"/>
  <c r="J77" i="1" s="1"/>
  <c r="O71" i="1"/>
  <c r="K77" i="1" l="1"/>
  <c r="K72" i="1"/>
  <c r="N72" i="1"/>
  <c r="N77" i="1" s="1"/>
  <c r="O77" i="1" l="1"/>
  <c r="N78" i="1" s="1"/>
  <c r="N81" i="1" s="1"/>
  <c r="J78" i="1"/>
  <c r="J81" i="1" s="1"/>
  <c r="O72" i="1"/>
  <c r="N73" i="1" s="1"/>
  <c r="N74" i="1" s="1"/>
  <c r="J73" i="1"/>
  <c r="J74" i="1" l="1"/>
  <c r="K74" i="1" s="1"/>
  <c r="O74" i="1" s="1"/>
  <c r="K73" i="1"/>
  <c r="K78" i="1"/>
  <c r="J75" i="1" l="1"/>
  <c r="O73" i="1"/>
  <c r="N75" i="1" s="1"/>
  <c r="N76" i="1" s="1"/>
  <c r="O78" i="1"/>
  <c r="N79" i="1" s="1"/>
  <c r="N80" i="1" s="1"/>
  <c r="J79" i="1"/>
  <c r="J76" i="1"/>
  <c r="K76" i="1" s="1"/>
  <c r="O76" i="1" s="1"/>
  <c r="K75" i="1"/>
  <c r="O75" i="1" s="1"/>
  <c r="K81" i="1"/>
  <c r="O81" i="1" s="1"/>
  <c r="N82" i="1"/>
  <c r="J80" i="1" l="1"/>
  <c r="K80" i="1" s="1"/>
  <c r="O80" i="1" s="1"/>
  <c r="K79" i="1"/>
  <c r="O79" i="1" s="1"/>
  <c r="K82" i="1"/>
  <c r="O82" i="1" s="1"/>
  <c r="H64" i="1" l="1"/>
  <c r="G50" i="1"/>
  <c r="D64" i="1"/>
  <c r="Q58" i="1"/>
  <c r="L61" i="1"/>
  <c r="G61" i="1"/>
  <c r="H61" i="1" s="1"/>
  <c r="D61" i="1"/>
  <c r="J60" i="1"/>
  <c r="Q61" i="1" s="1"/>
  <c r="G60" i="1"/>
  <c r="H60" i="1" s="1"/>
  <c r="P60" i="1"/>
  <c r="Q56" i="1"/>
  <c r="Q57" i="1"/>
  <c r="L57" i="1"/>
  <c r="Q54" i="1"/>
  <c r="Q55" i="1"/>
  <c r="G55" i="1"/>
  <c r="H55" i="1" s="1"/>
  <c r="G54" i="1"/>
  <c r="G53" i="1"/>
  <c r="J64" i="1" l="1"/>
  <c r="Q60" i="1"/>
  <c r="P61" i="1" s="1"/>
  <c r="K60" i="1"/>
  <c r="J61" i="1" s="1"/>
  <c r="K64" i="1" l="1"/>
  <c r="O64" i="1" s="1"/>
  <c r="L64" i="1"/>
  <c r="N64" i="1" s="1"/>
  <c r="Q64" i="1"/>
  <c r="N61" i="1"/>
  <c r="K61" i="1"/>
  <c r="O61" i="1" s="1"/>
  <c r="O60" i="1"/>
  <c r="D55" i="1" l="1"/>
  <c r="H54" i="1"/>
  <c r="G56" i="1"/>
  <c r="H56" i="1" s="1"/>
  <c r="G57" i="1"/>
  <c r="H57" i="1" s="1"/>
  <c r="G58" i="1"/>
  <c r="H58" i="1" s="1"/>
  <c r="D56" i="1"/>
  <c r="Q51" i="1"/>
  <c r="D50" i="1"/>
  <c r="D51" i="1"/>
  <c r="G51" i="1"/>
  <c r="H51" i="1" s="1"/>
  <c r="G52" i="1"/>
  <c r="H52" i="1" s="1"/>
  <c r="H53" i="1"/>
  <c r="B51" i="1"/>
  <c r="B52" i="1" s="1"/>
  <c r="H50" i="1"/>
  <c r="L54" i="1"/>
  <c r="L55" i="1" s="1"/>
  <c r="L53" i="1"/>
  <c r="L56" i="1" s="1"/>
  <c r="B53" i="1"/>
  <c r="D52" i="1"/>
  <c r="L51" i="1"/>
  <c r="L52" i="1" s="1"/>
  <c r="L58" i="1" l="1"/>
  <c r="L50" i="1"/>
  <c r="Q52" i="1"/>
  <c r="P53" i="1" s="1"/>
  <c r="Q50" i="1"/>
  <c r="P51" i="1" s="1"/>
  <c r="P52" i="1" s="1"/>
  <c r="Q53" i="1"/>
  <c r="P54" i="1" s="1"/>
  <c r="P56" i="1" s="1"/>
  <c r="P57" i="1" s="1"/>
  <c r="P58" i="1" s="1"/>
  <c r="P55" i="1"/>
  <c r="K50" i="1"/>
  <c r="N50" i="1" l="1"/>
  <c r="L60" i="1"/>
  <c r="N60" i="1" s="1"/>
  <c r="J51" i="1"/>
  <c r="O50" i="1"/>
  <c r="J52" i="1" l="1"/>
  <c r="N51" i="1"/>
  <c r="K51" i="1"/>
  <c r="O51" i="1" s="1"/>
  <c r="N52" i="1" l="1"/>
  <c r="K52" i="1"/>
  <c r="O52" i="1" l="1"/>
  <c r="J53" i="1"/>
  <c r="J56" i="1" s="1"/>
  <c r="K53" i="1" l="1"/>
  <c r="N53" i="1"/>
  <c r="J54" i="1" l="1"/>
  <c r="J55" i="1" s="1"/>
  <c r="O53" i="1"/>
  <c r="K54" i="1" l="1"/>
  <c r="N54" i="1"/>
  <c r="O54" i="1" l="1"/>
  <c r="N56" i="1"/>
  <c r="K56" i="1"/>
  <c r="O56" i="1" l="1"/>
  <c r="J57" i="1"/>
  <c r="N55" i="1"/>
  <c r="K55" i="1"/>
  <c r="O55" i="1" s="1"/>
  <c r="K57" i="1" l="1"/>
  <c r="O57" i="1" s="1"/>
  <c r="J58" i="1"/>
  <c r="N57" i="1"/>
  <c r="K58" i="1" l="1"/>
  <c r="O58" i="1" s="1"/>
  <c r="N58" i="1"/>
  <c r="Q24" i="1" l="1"/>
  <c r="P25" i="1" s="1"/>
  <c r="P26" i="1" s="1"/>
  <c r="Q23" i="1"/>
  <c r="Q22" i="1"/>
  <c r="Q21" i="1"/>
  <c r="P23" i="1" s="1"/>
  <c r="P24" i="1" s="1"/>
  <c r="Q20" i="1"/>
  <c r="Q19" i="1"/>
  <c r="P21" i="1" s="1"/>
  <c r="P22" i="1" s="1"/>
  <c r="Q18" i="1"/>
  <c r="P19" i="1" s="1"/>
  <c r="P20" i="1" s="1"/>
  <c r="Q30" i="1"/>
  <c r="Q32" i="1"/>
  <c r="G32" i="1"/>
  <c r="H32" i="1" s="1"/>
  <c r="D32" i="1"/>
  <c r="L31" i="1"/>
  <c r="J31" i="1"/>
  <c r="Q31" i="1" s="1"/>
  <c r="G31" i="1"/>
  <c r="H31" i="1" s="1"/>
  <c r="G30" i="1"/>
  <c r="H30" i="1" s="1"/>
  <c r="D30" i="1"/>
  <c r="Q29" i="1"/>
  <c r="L29" i="1"/>
  <c r="L30" i="1" s="1"/>
  <c r="L32" i="1" s="1"/>
  <c r="G29" i="1"/>
  <c r="H29" i="1" s="1"/>
  <c r="Q28" i="1"/>
  <c r="P29" i="1" s="1"/>
  <c r="P30" i="1" s="1"/>
  <c r="P32" i="1" s="1"/>
  <c r="G28" i="1"/>
  <c r="H28" i="1" s="1"/>
  <c r="Q27" i="1"/>
  <c r="L27" i="1"/>
  <c r="L28" i="1" s="1"/>
  <c r="G27" i="1"/>
  <c r="H27" i="1" s="1"/>
  <c r="Q26" i="1"/>
  <c r="P27" i="1" s="1"/>
  <c r="P28" i="1" s="1"/>
  <c r="O29" i="1" s="1"/>
  <c r="G26" i="1"/>
  <c r="H26" i="1" s="1"/>
  <c r="Q25" i="1"/>
  <c r="L25" i="1"/>
  <c r="L26" i="1" s="1"/>
  <c r="G25" i="1"/>
  <c r="H25" i="1" s="1"/>
  <c r="G24" i="1"/>
  <c r="H24" i="1" s="1"/>
  <c r="G23" i="1"/>
  <c r="H23" i="1" s="1"/>
  <c r="L23" i="1"/>
  <c r="L24" i="1" s="1"/>
  <c r="D21" i="1"/>
  <c r="G21" i="1"/>
  <c r="H21" i="1" s="1"/>
  <c r="G22" i="1"/>
  <c r="H22" i="1" s="1"/>
  <c r="G20" i="1"/>
  <c r="H20" i="1" s="1"/>
  <c r="G19" i="1"/>
  <c r="H19" i="1" s="1"/>
  <c r="G18" i="1"/>
  <c r="H18" i="1" s="1"/>
  <c r="B29" i="1"/>
  <c r="B30" i="1" s="1"/>
  <c r="B32" i="1" s="1"/>
  <c r="B27" i="1"/>
  <c r="B28" i="1" s="1"/>
  <c r="B25" i="1"/>
  <c r="B26" i="1" s="1"/>
  <c r="B23" i="1"/>
  <c r="B24" i="1" s="1"/>
  <c r="B21" i="1"/>
  <c r="B22" i="1" s="1"/>
  <c r="B19" i="1"/>
  <c r="B20" i="1" s="1"/>
  <c r="D29" i="1"/>
  <c r="D27" i="1"/>
  <c r="G46" i="1"/>
  <c r="H46" i="1" s="1"/>
  <c r="D46" i="1"/>
  <c r="L45" i="1"/>
  <c r="J45" i="1"/>
  <c r="Q45" i="1" s="1"/>
  <c r="G45" i="1"/>
  <c r="H45" i="1" s="1"/>
  <c r="D44" i="1"/>
  <c r="L44" i="1"/>
  <c r="G44" i="1"/>
  <c r="H44" i="1" s="1"/>
  <c r="L43" i="1"/>
  <c r="L46" i="1" s="1"/>
  <c r="G43" i="1"/>
  <c r="H43" i="1" s="1"/>
  <c r="L42" i="1"/>
  <c r="G42" i="1"/>
  <c r="H42" i="1" s="1"/>
  <c r="L40" i="1"/>
  <c r="G39" i="1"/>
  <c r="H39" i="1" s="1"/>
  <c r="G41" i="1"/>
  <c r="H41" i="1" s="1"/>
  <c r="D41" i="1"/>
  <c r="G40" i="1"/>
  <c r="H40" i="1" s="1"/>
  <c r="D39" i="1"/>
  <c r="L38" i="1"/>
  <c r="L39" i="1" s="1"/>
  <c r="G38" i="1"/>
  <c r="H38" i="1" s="1"/>
  <c r="L37" i="1"/>
  <c r="G37" i="1"/>
  <c r="H37" i="1" s="1"/>
  <c r="D37" i="1"/>
  <c r="G36" i="1"/>
  <c r="H36" i="1" s="1"/>
  <c r="D36" i="1"/>
  <c r="G35" i="1"/>
  <c r="H35" i="1" s="1"/>
  <c r="D35" i="1"/>
  <c r="L35" i="1"/>
  <c r="L36" i="1" s="1"/>
  <c r="G34" i="1"/>
  <c r="H34" i="1" s="1"/>
  <c r="D34" i="1"/>
  <c r="B44" i="1"/>
  <c r="B43" i="1"/>
  <c r="B41" i="1"/>
  <c r="B39" i="1"/>
  <c r="B37" i="1"/>
  <c r="B42" i="1" s="1"/>
  <c r="B36" i="1"/>
  <c r="J15" i="1"/>
  <c r="N15" i="1" s="1"/>
  <c r="K31" i="1" l="1"/>
  <c r="O31" i="1" s="1"/>
  <c r="K45" i="1"/>
  <c r="O45" i="1" s="1"/>
  <c r="K18" i="1"/>
  <c r="L18" i="1"/>
  <c r="N18" i="1" s="1"/>
  <c r="L41" i="1"/>
  <c r="P15" i="1"/>
  <c r="Q15" i="1"/>
  <c r="O18" i="1" l="1"/>
  <c r="N19" i="1" s="1"/>
  <c r="N20" i="1" s="1"/>
  <c r="J19" i="1"/>
  <c r="L19" i="1" l="1"/>
  <c r="J20" i="1"/>
  <c r="K19" i="1"/>
  <c r="O19" i="1" l="1"/>
  <c r="J22" i="1"/>
  <c r="J21" i="1"/>
  <c r="K20" i="1"/>
  <c r="O20" i="1" s="1"/>
  <c r="L20" i="1"/>
  <c r="L21" i="1" l="1"/>
  <c r="K21" i="1"/>
  <c r="N21" i="1"/>
  <c r="N22" i="1"/>
  <c r="L22" i="1"/>
  <c r="K22" i="1"/>
  <c r="O22" i="1" s="1"/>
  <c r="O21" i="1" l="1"/>
  <c r="J23" i="1"/>
  <c r="N23" i="1" l="1"/>
  <c r="J24" i="1"/>
  <c r="K23" i="1"/>
  <c r="O23" i="1" s="1"/>
  <c r="K24" i="1" l="1"/>
  <c r="N24" i="1"/>
  <c r="O24" i="1" l="1"/>
  <c r="J25" i="1"/>
  <c r="J26" i="1" l="1"/>
  <c r="N25" i="1"/>
  <c r="K25" i="1"/>
  <c r="O25" i="1" s="1"/>
  <c r="K26" i="1" l="1"/>
  <c r="N26" i="1"/>
  <c r="O26" i="1" l="1"/>
  <c r="J27" i="1"/>
  <c r="J28" i="1" l="1"/>
  <c r="N27" i="1"/>
  <c r="K27" i="1"/>
  <c r="O27" i="1" s="1"/>
  <c r="K28" i="1" l="1"/>
  <c r="N28" i="1"/>
  <c r="O28" i="1" l="1"/>
  <c r="J29" i="1"/>
  <c r="J30" i="1" s="1"/>
  <c r="K30" i="1" l="1"/>
  <c r="O30" i="1" s="1"/>
  <c r="J32" i="1"/>
  <c r="N30" i="1"/>
  <c r="K29" i="1"/>
  <c r="N29" i="1"/>
  <c r="K32" i="1" l="1"/>
  <c r="O32" i="1" s="1"/>
  <c r="N32" i="1"/>
  <c r="H15" i="1" l="1"/>
  <c r="D15" i="1"/>
  <c r="H13" i="1"/>
  <c r="H11" i="1" l="1"/>
  <c r="H12" i="1"/>
  <c r="D13" i="1"/>
  <c r="H10" i="1"/>
  <c r="J12" i="1"/>
  <c r="D12" i="1"/>
  <c r="M12" i="1"/>
  <c r="L12" i="1"/>
  <c r="Q10" i="1"/>
  <c r="Q11" i="1"/>
  <c r="K11" i="1"/>
  <c r="J13" i="1" s="1"/>
  <c r="L11" i="1"/>
  <c r="K10" i="1" l="1"/>
  <c r="O10" i="1" s="1"/>
  <c r="Q13" i="1" l="1"/>
  <c r="Q12" i="1"/>
  <c r="P13" i="1" s="1"/>
  <c r="K12" i="1"/>
  <c r="O12" i="1" s="1"/>
  <c r="N13" i="1" s="1"/>
  <c r="O11" i="1"/>
  <c r="L13" i="1" l="1"/>
  <c r="K13" i="1" l="1"/>
  <c r="O13" i="1" l="1"/>
  <c r="K15" i="1"/>
  <c r="O15" i="1" l="1"/>
  <c r="J34" i="1"/>
  <c r="Q46" i="1" l="1"/>
  <c r="Q44" i="1"/>
  <c r="L34" i="1"/>
  <c r="N34" i="1" s="1"/>
  <c r="Q41" i="1"/>
  <c r="Q34" i="1"/>
  <c r="P35" i="1" s="1"/>
  <c r="P36" i="1" s="1"/>
  <c r="Q40" i="1"/>
  <c r="Q35" i="1"/>
  <c r="Q38" i="1"/>
  <c r="Q42" i="1"/>
  <c r="P43" i="1" s="1"/>
  <c r="P46" i="1" s="1"/>
  <c r="Q37" i="1"/>
  <c r="P38" i="1" s="1"/>
  <c r="Q39" i="1"/>
  <c r="P40" i="1" s="1"/>
  <c r="P41" i="1" s="1"/>
  <c r="Q36" i="1"/>
  <c r="P37" i="1" s="1"/>
  <c r="K34" i="1"/>
  <c r="O34" i="1" l="1"/>
  <c r="J35" i="1"/>
  <c r="P42" i="1"/>
  <c r="P39" i="1"/>
  <c r="N35" i="1" l="1"/>
  <c r="J36" i="1"/>
  <c r="K35" i="1"/>
  <c r="O35" i="1" s="1"/>
  <c r="K36" i="1" l="1"/>
  <c r="N36" i="1"/>
  <c r="O36" i="1" l="1"/>
  <c r="J42" i="1"/>
  <c r="J37" i="1"/>
  <c r="K37" i="1" l="1"/>
  <c r="N37" i="1"/>
  <c r="K42" i="1"/>
  <c r="N42" i="1"/>
  <c r="O42" i="1" l="1"/>
  <c r="J43" i="1"/>
  <c r="J46" i="1" s="1"/>
  <c r="K46" i="1" s="1"/>
  <c r="O46" i="1" s="1"/>
  <c r="O37" i="1"/>
  <c r="J38" i="1"/>
  <c r="K38" i="1" l="1"/>
  <c r="O38" i="1" s="1"/>
  <c r="J39" i="1"/>
  <c r="N38" i="1"/>
  <c r="Q43" i="1"/>
  <c r="P44" i="1" s="1"/>
  <c r="N43" i="1"/>
  <c r="N46" i="1" s="1"/>
  <c r="K43" i="1"/>
  <c r="O43" i="1" l="1"/>
  <c r="J44" i="1"/>
  <c r="N39" i="1"/>
  <c r="K39" i="1"/>
  <c r="O39" i="1" l="1"/>
  <c r="J40" i="1"/>
  <c r="K44" i="1"/>
  <c r="O44" i="1" s="1"/>
  <c r="N44" i="1"/>
  <c r="J41" i="1" l="1"/>
  <c r="K40" i="1"/>
  <c r="O40" i="1" s="1"/>
  <c r="N40" i="1"/>
  <c r="K41" i="1" l="1"/>
  <c r="O41" i="1" s="1"/>
  <c r="N41" i="1"/>
  <c r="L10" i="1" l="1"/>
  <c r="N10" i="1" s="1"/>
  <c r="N11" i="1" l="1"/>
</calcChain>
</file>

<file path=xl/sharedStrings.xml><?xml version="1.0" encoding="utf-8"?>
<sst xmlns="http://schemas.openxmlformats.org/spreadsheetml/2006/main" count="190" uniqueCount="107">
  <si>
    <t>FECHA:</t>
  </si>
  <si>
    <t xml:space="preserve">HOJA </t>
  </si>
  <si>
    <t>No. 1</t>
  </si>
  <si>
    <t>longi-</t>
  </si>
  <si>
    <t>diame-</t>
  </si>
  <si>
    <t>Q</t>
  </si>
  <si>
    <t>V</t>
  </si>
  <si>
    <t>H.F.</t>
  </si>
  <si>
    <t>COTA</t>
  </si>
  <si>
    <t>TRAMO</t>
  </si>
  <si>
    <t>tud</t>
  </si>
  <si>
    <t>tro</t>
  </si>
  <si>
    <t>clase</t>
  </si>
  <si>
    <t>OBSERVACIONES</t>
  </si>
  <si>
    <t>DE</t>
  </si>
  <si>
    <t>A</t>
  </si>
  <si>
    <t>(m)</t>
  </si>
  <si>
    <t>(m/s)</t>
  </si>
  <si>
    <t>INICIAL</t>
  </si>
  <si>
    <t>FINAL</t>
  </si>
  <si>
    <t xml:space="preserve"> FINAL</t>
  </si>
  <si>
    <t>DISEÑO: ELDER  A. RIVERA</t>
  </si>
  <si>
    <t>REVISO:  ELDER A. RIVERA</t>
  </si>
  <si>
    <t xml:space="preserve">   DE                   1</t>
  </si>
  <si>
    <t>PRESION</t>
  </si>
  <si>
    <t>3/4"</t>
  </si>
  <si>
    <t>(L/s)</t>
  </si>
  <si>
    <t>(pulg)</t>
  </si>
  <si>
    <t>PIEZOMETRICA (m)</t>
  </si>
  <si>
    <t>TERRENO (m)</t>
  </si>
  <si>
    <t>DISPONIBLE (m)</t>
  </si>
  <si>
    <t>ESTATICA(m.)</t>
  </si>
  <si>
    <t>(PSI)</t>
  </si>
  <si>
    <t>3"</t>
  </si>
  <si>
    <t>0+509.73</t>
  </si>
  <si>
    <t>Nac1</t>
  </si>
  <si>
    <t>CUQ</t>
  </si>
  <si>
    <t>Nac2</t>
  </si>
  <si>
    <t>0+036.12</t>
  </si>
  <si>
    <t>0+054.30</t>
  </si>
  <si>
    <t>Nac3</t>
  </si>
  <si>
    <t>CDQ</t>
  </si>
  <si>
    <t>2"</t>
  </si>
  <si>
    <t>LINEA DE CONDUCCION CAPT. A CDQ-3V</t>
  </si>
  <si>
    <t>1 1/4"</t>
  </si>
  <si>
    <t>E-127</t>
  </si>
  <si>
    <t>E-141</t>
  </si>
  <si>
    <t>RAMAL 1</t>
  </si>
  <si>
    <t xml:space="preserve"> 1 1/4"</t>
  </si>
  <si>
    <t>0+043.26</t>
  </si>
  <si>
    <t>LINEA DE BOMBEO DE T. S. a  T. D. 50 m3</t>
  </si>
  <si>
    <t>0+134.47</t>
  </si>
  <si>
    <t>0+107.54</t>
  </si>
  <si>
    <t>0+172.20</t>
  </si>
  <si>
    <t xml:space="preserve"> 1/2"</t>
  </si>
  <si>
    <t>0+234.96</t>
  </si>
  <si>
    <t>0+209.93</t>
  </si>
  <si>
    <t xml:space="preserve"> 1"</t>
  </si>
  <si>
    <t>0+268.19 CRP c/VF</t>
  </si>
  <si>
    <t>0+292.87</t>
  </si>
  <si>
    <t>0+400.54</t>
  </si>
  <si>
    <t>Casa2</t>
  </si>
  <si>
    <t>Esc.</t>
  </si>
  <si>
    <t>0+029.92</t>
  </si>
  <si>
    <t>RAMAL 2</t>
  </si>
  <si>
    <t>0+066.56</t>
  </si>
  <si>
    <t>0+091.10</t>
  </si>
  <si>
    <t>0+263.56</t>
  </si>
  <si>
    <t>0+319.19</t>
  </si>
  <si>
    <t>0+290.17</t>
  </si>
  <si>
    <t>0+346.37</t>
  </si>
  <si>
    <t>0+311.08</t>
  </si>
  <si>
    <t>0+357.40</t>
  </si>
  <si>
    <t>0+373.88</t>
  </si>
  <si>
    <t>0+416.43</t>
  </si>
  <si>
    <t>0+485.45 CRP c/vf</t>
  </si>
  <si>
    <t>0+529.39</t>
  </si>
  <si>
    <t>0+594.60</t>
  </si>
  <si>
    <t>RAMAL 3</t>
  </si>
  <si>
    <t>0+074.64</t>
  </si>
  <si>
    <t>0+148.00</t>
  </si>
  <si>
    <t>0+139.61</t>
  </si>
  <si>
    <t>0+174.24</t>
  </si>
  <si>
    <t>0+213.47</t>
  </si>
  <si>
    <t>0+252.90</t>
  </si>
  <si>
    <t>0+253.80</t>
  </si>
  <si>
    <t>0+227.74</t>
  </si>
  <si>
    <t>RAMAL 4</t>
  </si>
  <si>
    <t>0+025.75</t>
  </si>
  <si>
    <t>0+158.84</t>
  </si>
  <si>
    <t>1"</t>
  </si>
  <si>
    <t xml:space="preserve">RED DE DISTRIBUCION </t>
  </si>
  <si>
    <t>RAMAL 5</t>
  </si>
  <si>
    <t>RAMAL 6</t>
  </si>
  <si>
    <t>0+528.18</t>
  </si>
  <si>
    <t>0+757.90</t>
  </si>
  <si>
    <t>0+361.07</t>
  </si>
  <si>
    <t>0+663.65</t>
  </si>
  <si>
    <t>0+411.21</t>
  </si>
  <si>
    <t>0+344.69 TD 20 m3</t>
  </si>
  <si>
    <t>REHABILITACIÓN Y AMPLIACIÓN DEL SISTEMA DE AGUA DE LA ALDEA NAVIDAD, DEL MUNICIPIO DE SAN CRISTOBAL VERAPAZ, DEL DEPARTAMENTO DE ALTA VERAPAZ</t>
  </si>
  <si>
    <t>RESUMEN DE CÁLCULO HIDRÁULICO</t>
  </si>
  <si>
    <t>0+661.21 CDQ-3V</t>
  </si>
  <si>
    <t>0+174.52  TD 50 m3</t>
  </si>
  <si>
    <t>RED DE DISTRIBUCIÓN SECTOR ALTO  -  INICIA DE TANQUE DE 50 m3 (EXISTENTE)</t>
  </si>
  <si>
    <t>RED DE DISTRIBUCIÓN SECTOR MEDIO  -  INICIA DE TD DE 15 m3 (EXISTENTE)</t>
  </si>
  <si>
    <t>LINEA DE CONDUCCION SECTOR BAJO  -  INICIA DE CDQ-3V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</si>
</sst>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_(* #,##0_);_(* \(#,##0\);_(* &quot;-&quot;_);_(@_)"/>
    <numFmt numFmtId="166" formatCode="dd\-mmm\-yy_)"/>
    <numFmt numFmtId="167" formatCode="_(* #,##0.00_);_(* \(#,##0.00\);_(* &quot;-&quot;_);_(@_)"/>
    <numFmt numFmtId="168" formatCode="0.00_)"/>
    <numFmt numFmtId="169" formatCode="0.0"/>
    <numFmt numFmtId="170" formatCode="0.000"/>
  </numFmts>
  <fonts count="17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Courier"/>
      <family val="3"/>
    </font>
    <font>
      <sz val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i/>
      <sz val="10"/>
      <color indexed="8"/>
      <name val="Arial"/>
      <family val="2"/>
    </font>
    <font>
      <sz val="9"/>
      <color indexed="8"/>
      <name val="Courier"/>
      <family val="3"/>
    </font>
    <font>
      <sz val="9"/>
      <name val="Arial"/>
      <family val="2"/>
    </font>
    <font>
      <sz val="9"/>
      <color theme="1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1" fillId="0" borderId="0" xfId="0" applyFont="1"/>
    <xf numFmtId="0" fontId="8" fillId="0" borderId="3" xfId="0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9" fontId="8" fillId="0" borderId="2" xfId="0" applyNumberFormat="1" applyFont="1" applyBorder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2" xfId="0" applyFont="1" applyBorder="1"/>
    <xf numFmtId="0" fontId="8" fillId="0" borderId="15" xfId="0" applyFont="1" applyBorder="1"/>
    <xf numFmtId="0" fontId="8" fillId="0" borderId="16" xfId="0" applyFont="1" applyBorder="1" applyAlignment="1">
      <alignment horizontal="center"/>
    </xf>
    <xf numFmtId="167" fontId="8" fillId="0" borderId="3" xfId="1" applyNumberFormat="1" applyFont="1" applyBorder="1" applyAlignment="1">
      <alignment horizontal="center"/>
    </xf>
    <xf numFmtId="168" fontId="8" fillId="0" borderId="3" xfId="0" applyNumberFormat="1" applyFont="1" applyBorder="1" applyAlignment="1">
      <alignment horizontal="center"/>
    </xf>
    <xf numFmtId="168" fontId="8" fillId="0" borderId="3" xfId="0" applyNumberFormat="1" applyFont="1" applyBorder="1" applyAlignment="1">
      <alignment horizontal="right"/>
    </xf>
    <xf numFmtId="2" fontId="7" fillId="0" borderId="3" xfId="1" applyNumberFormat="1" applyFont="1" applyBorder="1"/>
    <xf numFmtId="39" fontId="7" fillId="0" borderId="17" xfId="0" applyNumberFormat="1" applyFont="1" applyBorder="1" applyAlignment="1">
      <alignment horizontal="right"/>
    </xf>
    <xf numFmtId="39" fontId="7" fillId="0" borderId="3" xfId="0" applyNumberFormat="1" applyFont="1" applyBorder="1" applyAlignment="1">
      <alignment horizontal="right"/>
    </xf>
    <xf numFmtId="2" fontId="7" fillId="0" borderId="3" xfId="0" applyNumberFormat="1" applyFont="1" applyBorder="1"/>
    <xf numFmtId="2" fontId="8" fillId="0" borderId="3" xfId="0" applyNumberFormat="1" applyFont="1" applyBorder="1"/>
    <xf numFmtId="168" fontId="7" fillId="0" borderId="3" xfId="0" applyNumberFormat="1" applyFont="1" applyBorder="1" applyAlignment="1">
      <alignment horizontal="right"/>
    </xf>
    <xf numFmtId="39" fontId="8" fillId="0" borderId="17" xfId="0" applyNumberFormat="1" applyFont="1" applyBorder="1" applyAlignment="1">
      <alignment horizontal="right"/>
    </xf>
    <xf numFmtId="39" fontId="12" fillId="0" borderId="17" xfId="0" applyNumberFormat="1" applyFont="1" applyBorder="1" applyAlignment="1">
      <alignment horizontal="right"/>
    </xf>
    <xf numFmtId="39" fontId="12" fillId="0" borderId="3" xfId="0" applyNumberFormat="1" applyFont="1" applyBorder="1" applyAlignment="1">
      <alignment horizontal="right"/>
    </xf>
    <xf numFmtId="39" fontId="8" fillId="0" borderId="3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0" fontId="0" fillId="0" borderId="3" xfId="0" applyBorder="1"/>
    <xf numFmtId="2" fontId="7" fillId="0" borderId="3" xfId="1" applyNumberFormat="1" applyFont="1" applyFill="1" applyBorder="1"/>
    <xf numFmtId="0" fontId="8" fillId="0" borderId="18" xfId="0" applyFont="1" applyBorder="1"/>
    <xf numFmtId="0" fontId="8" fillId="0" borderId="4" xfId="0" applyFont="1" applyBorder="1" applyAlignment="1">
      <alignment horizontal="right"/>
    </xf>
    <xf numFmtId="0" fontId="8" fillId="0" borderId="5" xfId="0" applyFont="1" applyBorder="1"/>
    <xf numFmtId="0" fontId="0" fillId="0" borderId="21" xfId="0" applyBorder="1"/>
    <xf numFmtId="0" fontId="0" fillId="0" borderId="16" xfId="0" applyBorder="1"/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0" fillId="0" borderId="23" xfId="0" applyBorder="1"/>
    <xf numFmtId="0" fontId="8" fillId="0" borderId="23" xfId="0" applyFont="1" applyBorder="1" applyAlignment="1">
      <alignment horizontal="right"/>
    </xf>
    <xf numFmtId="0" fontId="8" fillId="0" borderId="23" xfId="0" applyFont="1" applyBorder="1" applyAlignment="1">
      <alignment horizontal="center"/>
    </xf>
    <xf numFmtId="167" fontId="8" fillId="0" borderId="23" xfId="1" applyNumberFormat="1" applyFont="1" applyBorder="1" applyAlignment="1">
      <alignment horizontal="center"/>
    </xf>
    <xf numFmtId="168" fontId="8" fillId="0" borderId="23" xfId="0" applyNumberFormat="1" applyFont="1" applyBorder="1" applyAlignment="1">
      <alignment horizontal="center"/>
    </xf>
    <xf numFmtId="168" fontId="8" fillId="0" borderId="23" xfId="0" applyNumberFormat="1" applyFont="1" applyBorder="1" applyAlignment="1">
      <alignment horizontal="right"/>
    </xf>
    <xf numFmtId="2" fontId="7" fillId="0" borderId="23" xfId="1" applyNumberFormat="1" applyFont="1" applyFill="1" applyBorder="1"/>
    <xf numFmtId="39" fontId="7" fillId="0" borderId="23" xfId="0" applyNumberFormat="1" applyFont="1" applyBorder="1" applyAlignment="1">
      <alignment horizontal="right"/>
    </xf>
    <xf numFmtId="39" fontId="8" fillId="0" borderId="23" xfId="0" applyNumberFormat="1" applyFont="1" applyBorder="1" applyAlignment="1">
      <alignment horizontal="right"/>
    </xf>
    <xf numFmtId="0" fontId="8" fillId="0" borderId="24" xfId="0" applyFont="1" applyBorder="1"/>
    <xf numFmtId="0" fontId="8" fillId="0" borderId="8" xfId="0" applyFont="1" applyBorder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2" borderId="29" xfId="0" applyFont="1" applyFill="1" applyBorder="1" applyAlignment="1">
      <alignment horizontal="left"/>
    </xf>
    <xf numFmtId="0" fontId="2" fillId="2" borderId="9" xfId="0" applyFont="1" applyFill="1" applyBorder="1"/>
    <xf numFmtId="0" fontId="1" fillId="2" borderId="9" xfId="0" applyFont="1" applyFill="1" applyBorder="1"/>
    <xf numFmtId="0" fontId="8" fillId="2" borderId="9" xfId="0" applyFont="1" applyFill="1" applyBorder="1"/>
    <xf numFmtId="0" fontId="0" fillId="2" borderId="9" xfId="0" applyFill="1" applyBorder="1"/>
    <xf numFmtId="170" fontId="13" fillId="2" borderId="9" xfId="0" applyNumberFormat="1" applyFont="1" applyFill="1" applyBorder="1"/>
    <xf numFmtId="0" fontId="0" fillId="2" borderId="15" xfId="0" applyFill="1" applyBorder="1" applyAlignment="1">
      <alignment horizontal="right"/>
    </xf>
    <xf numFmtId="0" fontId="7" fillId="2" borderId="21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6" fontId="8" fillId="2" borderId="0" xfId="0" applyNumberFormat="1" applyFont="1" applyFill="1"/>
    <xf numFmtId="17" fontId="7" fillId="2" borderId="0" xfId="0" applyNumberFormat="1" applyFont="1" applyFill="1"/>
    <xf numFmtId="0" fontId="7" fillId="2" borderId="1" xfId="0" applyFont="1" applyFill="1" applyBorder="1"/>
    <xf numFmtId="0" fontId="7" fillId="2" borderId="12" xfId="0" applyFont="1" applyFill="1" applyBorder="1"/>
    <xf numFmtId="0" fontId="7" fillId="2" borderId="30" xfId="0" applyFont="1" applyFill="1" applyBorder="1"/>
    <xf numFmtId="0" fontId="8" fillId="2" borderId="28" xfId="0" applyFont="1" applyFill="1" applyBorder="1"/>
    <xf numFmtId="169" fontId="8" fillId="2" borderId="28" xfId="0" applyNumberFormat="1" applyFont="1" applyFill="1" applyBorder="1"/>
    <xf numFmtId="1" fontId="8" fillId="2" borderId="28" xfId="0" applyNumberFormat="1" applyFont="1" applyFill="1" applyBorder="1"/>
    <xf numFmtId="0" fontId="8" fillId="2" borderId="28" xfId="0" applyFont="1" applyFill="1" applyBorder="1" applyAlignment="1">
      <alignment horizontal="center"/>
    </xf>
    <xf numFmtId="0" fontId="7" fillId="2" borderId="28" xfId="0" applyFont="1" applyFill="1" applyBorder="1"/>
    <xf numFmtId="2" fontId="4" fillId="2" borderId="28" xfId="0" applyNumberFormat="1" applyFont="1" applyFill="1" applyBorder="1"/>
    <xf numFmtId="0" fontId="7" fillId="2" borderId="31" xfId="0" applyFont="1" applyFill="1" applyBorder="1"/>
    <xf numFmtId="0" fontId="3" fillId="2" borderId="2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16" fillId="2" borderId="21" xfId="2" applyFont="1" applyFill="1" applyBorder="1" applyAlignment="1">
      <alignment horizontal="center" wrapText="1"/>
    </xf>
    <xf numFmtId="164" fontId="16" fillId="2" borderId="0" xfId="2" applyFont="1" applyFill="1" applyBorder="1" applyAlignment="1">
      <alignment horizontal="center" wrapText="1"/>
    </xf>
    <xf numFmtId="164" fontId="16" fillId="2" borderId="16" xfId="2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5" Type="http://schemas.openxmlformats.org/officeDocument/2006/relationships/customXml" Target="../ink/ink2.xml"/><Relationship Id="rId84" Type="http://schemas.openxmlformats.org/officeDocument/2006/relationships/image" Target="../media/image20.png"/><Relationship Id="rId1" Type="http://schemas.openxmlformats.org/officeDocument/2006/relationships/customXml" Target="../ink/ink1.xml"/><Relationship Id="rId122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44266</xdr:colOff>
      <xdr:row>1</xdr:row>
      <xdr:rowOff>26753</xdr:rowOff>
    </xdr:from>
    <xdr:to>
      <xdr:col>18</xdr:col>
      <xdr:colOff>110266</xdr:colOff>
      <xdr:row>1</xdr:row>
      <xdr:rowOff>72113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77" name="Entrada de lápiz 276">
              <a:extLst>
                <a:ext uri="{FF2B5EF4-FFF2-40B4-BE49-F238E27FC236}">
                  <a16:creationId xmlns:a16="http://schemas.microsoft.com/office/drawing/2014/main" id="{4139961F-E7D3-4D83-B967-341A693371D0}"/>
                </a:ext>
              </a:extLst>
            </xdr14:cNvPr>
            <xdr14:cNvContentPartPr/>
          </xdr14:nvContentPartPr>
          <xdr14:nvPr macro=""/>
          <xdr14:xfrm>
            <a:off x="7995960" y="358447"/>
            <a:ext cx="50760" cy="45360"/>
          </xdr14:xfrm>
        </xdr:contentPart>
      </mc:Choice>
      <mc:Fallback xmlns="">
        <xdr:pic>
          <xdr:nvPicPr>
            <xdr:cNvPr id="277" name="Entrada de lápiz 276">
              <a:extLst>
                <a:ext uri="{FF2B5EF4-FFF2-40B4-BE49-F238E27FC236}">
                  <a16:creationId xmlns:a16="http://schemas.microsoft.com/office/drawing/2014/main" id="{4139961F-E7D3-4D83-B967-341A693371D0}"/>
                </a:ext>
              </a:extLst>
            </xdr:cNvPr>
            <xdr:cNvPicPr/>
          </xdr:nvPicPr>
          <xdr:blipFill>
            <a:blip xmlns:r="http://schemas.openxmlformats.org/officeDocument/2006/relationships" r:embed="rId84"/>
            <a:stretch>
              <a:fillRect/>
            </a:stretch>
          </xdr:blipFill>
          <xdr:spPr>
            <a:xfrm>
              <a:off x="7987320" y="349807"/>
              <a:ext cx="68400" cy="63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178475</xdr:colOff>
      <xdr:row>46</xdr:row>
      <xdr:rowOff>0</xdr:rowOff>
    </xdr:from>
    <xdr:to>
      <xdr:col>4</xdr:col>
      <xdr:colOff>223850</xdr:colOff>
      <xdr:row>46</xdr:row>
      <xdr:rowOff>7095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100" name="Entrada de lápiz 99">
              <a:extLst>
                <a:ext uri="{FF2B5EF4-FFF2-40B4-BE49-F238E27FC236}">
                  <a16:creationId xmlns:a16="http://schemas.microsoft.com/office/drawing/2014/main" id="{87F7BEF6-CC60-ABB9-C17C-4DEB11576A35}"/>
                </a:ext>
              </a:extLst>
            </xdr14:cNvPr>
            <xdr14:cNvContentPartPr/>
          </xdr14:nvContentPartPr>
          <xdr14:nvPr macro=""/>
          <xdr14:xfrm>
            <a:off x="1025640" y="3317929"/>
            <a:ext cx="32040" cy="9000"/>
          </xdr14:xfrm>
        </xdr:contentPart>
      </mc:Choice>
      <mc:Fallback xmlns="">
        <xdr:pic>
          <xdr:nvPicPr>
            <xdr:cNvPr id="100" name="Entrada de lápiz 99">
              <a:extLst>
                <a:ext uri="{FF2B5EF4-FFF2-40B4-BE49-F238E27FC236}">
                  <a16:creationId xmlns:a16="http://schemas.microsoft.com/office/drawing/2014/main" id="{87F7BEF6-CC60-ABB9-C17C-4DEB11576A35}"/>
                </a:ext>
              </a:extLst>
            </xdr:cNvPr>
            <xdr:cNvPicPr/>
          </xdr:nvPicPr>
          <xdr:blipFill>
            <a:blip xmlns:r="http://schemas.openxmlformats.org/officeDocument/2006/relationships" r:embed="rId122"/>
            <a:stretch>
              <a:fillRect/>
            </a:stretch>
          </xdr:blipFill>
          <xdr:spPr>
            <a:xfrm>
              <a:off x="1016640" y="3309289"/>
              <a:ext cx="49680" cy="266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25T20:23:38.9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14 208,'0'1'8065,"0"2"-8480,0 98 117,0-100 207,0-1-1,0 0 1,1 1-1,-1-1 0,0 0 1,2 0-1,-2 1 1,0-1-1,1 0 1,-1 0-1,1 0 1,-1 1-1,0-1 0,2 0 1,-2 0-1,1 0 1,-1 0-1,0 0 1,1 0-1,-1 0 0,1 0 1,-1 0-1,0 0 1,2 0-1,-2 0 1,1 0-1,0-1 1,3 1-953,7 0-1093</inkml:trace>
  <inkml:trace contextRef="#ctx0" brushRef="#br0" timeOffset="535.71">142 1 928,'0'0'3834,"8"20"-1564,1-3-1636,-5-10-637,0 0 1,-1 0 0,1 1 0,-2-1-1,1 0 1,-2 1 0,0-1 0,1 1-1,-2 11 1,-9-16-6409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5-09T20:29:44.3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125 1 104,'0'0'672,"-121"14"-592,117-13-80,4 1-368,7-1-40,10 0 328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85"/>
  <sheetViews>
    <sheetView tabSelected="1" topLeftCell="A58" zoomScale="130" zoomScaleNormal="130" workbookViewId="0">
      <selection activeCell="U63" sqref="U63"/>
    </sheetView>
  </sheetViews>
  <sheetFormatPr baseColWidth="10" defaultRowHeight="13.2" x14ac:dyDescent="0.25"/>
  <cols>
    <col min="1" max="1" width="5.6640625" customWidth="1"/>
    <col min="2" max="2" width="4.44140625" customWidth="1"/>
    <col min="3" max="3" width="6.33203125" bestFit="1" customWidth="1"/>
    <col min="4" max="4" width="5.109375" customWidth="1"/>
    <col min="5" max="5" width="5.6640625" customWidth="1"/>
    <col min="6" max="6" width="4.5546875" customWidth="1"/>
    <col min="7" max="7" width="6.109375" customWidth="1"/>
    <col min="8" max="8" width="4.88671875" customWidth="1"/>
    <col min="9" max="9" width="5.44140625" customWidth="1"/>
    <col min="10" max="10" width="7.88671875" customWidth="1"/>
    <col min="11" max="11" width="8.88671875" customWidth="1"/>
    <col min="12" max="12" width="8.6640625" customWidth="1"/>
    <col min="13" max="13" width="9.33203125" customWidth="1"/>
    <col min="14" max="14" width="6.88671875" customWidth="1"/>
    <col min="15" max="15" width="6.6640625" customWidth="1"/>
    <col min="16" max="16" width="7.33203125" customWidth="1"/>
    <col min="17" max="17" width="6.88671875" customWidth="1"/>
    <col min="18" max="18" width="17.33203125" customWidth="1"/>
    <col min="19" max="19" width="7" customWidth="1"/>
  </cols>
  <sheetData>
    <row r="1" spans="2:28" x14ac:dyDescent="0.25">
      <c r="B1" s="55"/>
      <c r="C1" s="56"/>
      <c r="D1" s="56"/>
      <c r="E1" s="57"/>
      <c r="F1" s="57"/>
      <c r="G1" s="58"/>
      <c r="H1" s="59"/>
      <c r="I1" s="60"/>
      <c r="J1" s="59"/>
      <c r="K1" s="59"/>
      <c r="L1" s="59"/>
      <c r="M1" s="59"/>
      <c r="N1" s="59"/>
      <c r="O1" s="59"/>
      <c r="P1" s="59"/>
      <c r="Q1" s="59"/>
      <c r="R1" s="61"/>
    </row>
    <row r="2" spans="2:28" ht="15" customHeight="1" x14ac:dyDescent="0.25">
      <c r="B2" s="77" t="s">
        <v>101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9"/>
      <c r="S2" s="1"/>
      <c r="T2" s="2"/>
      <c r="U2" s="2"/>
      <c r="V2" s="2"/>
      <c r="W2" s="2"/>
      <c r="X2" s="2"/>
      <c r="Y2" s="2"/>
      <c r="Z2" s="2"/>
      <c r="AA2" s="2"/>
      <c r="AB2" s="2"/>
    </row>
    <row r="3" spans="2:28" ht="27" customHeight="1" x14ac:dyDescent="0.25">
      <c r="B3" s="93" t="s">
        <v>100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5"/>
      <c r="S3" s="1"/>
      <c r="T3" s="2"/>
      <c r="U3" s="2"/>
      <c r="V3" s="2"/>
      <c r="W3" s="2"/>
      <c r="X3" s="2"/>
      <c r="Y3" s="2"/>
      <c r="Z3" s="2"/>
      <c r="AA3" s="2"/>
      <c r="AB3" s="2"/>
    </row>
    <row r="4" spans="2:28" s="6" customFormat="1" ht="15" hidden="1" customHeight="1" x14ac:dyDescent="0.2">
      <c r="B4" s="62" t="s">
        <v>21</v>
      </c>
      <c r="C4" s="63"/>
      <c r="D4" s="63"/>
      <c r="E4" s="63"/>
      <c r="F4" s="64"/>
      <c r="G4" s="63"/>
      <c r="H4" s="63" t="s">
        <v>22</v>
      </c>
      <c r="I4" s="65"/>
      <c r="J4" s="63"/>
      <c r="K4" s="63"/>
      <c r="L4" s="63" t="s">
        <v>0</v>
      </c>
      <c r="M4" s="66">
        <v>39934</v>
      </c>
      <c r="N4" s="63"/>
      <c r="O4" s="63"/>
      <c r="P4" s="63" t="s">
        <v>1</v>
      </c>
      <c r="Q4" s="67" t="s">
        <v>2</v>
      </c>
      <c r="R4" s="68" t="s">
        <v>23</v>
      </c>
      <c r="S4" s="4"/>
      <c r="T4" s="5"/>
      <c r="U4" s="5"/>
      <c r="V4" s="5"/>
      <c r="W4" s="5"/>
      <c r="X4" s="5"/>
      <c r="Y4" s="5"/>
      <c r="Z4" s="5"/>
      <c r="AA4" s="5"/>
      <c r="AB4" s="5"/>
    </row>
    <row r="5" spans="2:28" ht="30" customHeight="1" thickBot="1" x14ac:dyDescent="0.3">
      <c r="B5" s="69"/>
      <c r="C5" s="70"/>
      <c r="D5" s="71"/>
      <c r="E5" s="72"/>
      <c r="F5" s="73"/>
      <c r="G5" s="70"/>
      <c r="H5" s="74"/>
      <c r="I5" s="70"/>
      <c r="J5" s="75"/>
      <c r="K5" s="70"/>
      <c r="L5" s="74"/>
      <c r="M5" s="70"/>
      <c r="N5" s="70"/>
      <c r="O5" s="74"/>
      <c r="P5" s="74"/>
      <c r="Q5" s="70"/>
      <c r="R5" s="76"/>
      <c r="S5" s="1"/>
      <c r="T5" s="2"/>
      <c r="U5" s="2"/>
      <c r="V5" s="2"/>
      <c r="W5" s="2"/>
      <c r="X5" s="2"/>
      <c r="Y5" s="2"/>
      <c r="Z5" s="2"/>
      <c r="AA5" s="2"/>
      <c r="AB5" s="2"/>
    </row>
    <row r="6" spans="2:28" ht="15" customHeight="1" x14ac:dyDescent="0.25">
      <c r="B6" s="34"/>
      <c r="C6" s="51"/>
      <c r="D6" s="12" t="s">
        <v>3</v>
      </c>
      <c r="E6" s="12" t="s">
        <v>4</v>
      </c>
      <c r="F6" s="12"/>
      <c r="G6" s="12" t="s">
        <v>5</v>
      </c>
      <c r="H6" s="54" t="s">
        <v>6</v>
      </c>
      <c r="I6" s="12" t="s">
        <v>7</v>
      </c>
      <c r="J6" s="80" t="s">
        <v>8</v>
      </c>
      <c r="K6" s="81"/>
      <c r="L6" s="92" t="s">
        <v>8</v>
      </c>
      <c r="M6" s="92"/>
      <c r="N6" s="90" t="s">
        <v>24</v>
      </c>
      <c r="O6" s="91"/>
      <c r="P6" s="88" t="s">
        <v>24</v>
      </c>
      <c r="Q6" s="89"/>
      <c r="R6" s="16"/>
      <c r="S6" s="3"/>
      <c r="T6" s="2"/>
      <c r="U6" s="2"/>
      <c r="V6" s="2"/>
      <c r="W6" s="2"/>
      <c r="X6" s="2"/>
      <c r="Y6" s="2"/>
      <c r="Z6" s="2"/>
      <c r="AA6" s="2"/>
      <c r="AB6" s="2"/>
    </row>
    <row r="7" spans="2:28" ht="15" customHeight="1" x14ac:dyDescent="0.25">
      <c r="B7" s="82" t="s">
        <v>9</v>
      </c>
      <c r="C7" s="83"/>
      <c r="D7" s="12" t="s">
        <v>10</v>
      </c>
      <c r="E7" s="12" t="s">
        <v>11</v>
      </c>
      <c r="F7" s="12" t="s">
        <v>12</v>
      </c>
      <c r="G7" s="12"/>
      <c r="H7" s="54"/>
      <c r="I7" s="12"/>
      <c r="J7" s="84" t="s">
        <v>28</v>
      </c>
      <c r="K7" s="85"/>
      <c r="L7" s="92" t="s">
        <v>29</v>
      </c>
      <c r="M7" s="92"/>
      <c r="N7" s="86" t="s">
        <v>30</v>
      </c>
      <c r="O7" s="87"/>
      <c r="P7" s="86" t="s">
        <v>31</v>
      </c>
      <c r="Q7" s="87"/>
      <c r="R7" s="17" t="s">
        <v>13</v>
      </c>
      <c r="S7" s="3"/>
      <c r="T7" s="2"/>
      <c r="U7" s="2"/>
      <c r="V7" s="2"/>
      <c r="W7" s="2"/>
      <c r="X7" s="2"/>
      <c r="Y7" s="2"/>
      <c r="Z7" s="2"/>
      <c r="AA7" s="2"/>
      <c r="AB7" s="2"/>
    </row>
    <row r="8" spans="2:28" ht="15" customHeight="1" x14ac:dyDescent="0.25">
      <c r="B8" s="52" t="s">
        <v>14</v>
      </c>
      <c r="C8" s="53" t="s">
        <v>15</v>
      </c>
      <c r="D8" s="13" t="s">
        <v>16</v>
      </c>
      <c r="E8" s="13" t="s">
        <v>27</v>
      </c>
      <c r="F8" s="13" t="s">
        <v>32</v>
      </c>
      <c r="G8" s="13" t="s">
        <v>26</v>
      </c>
      <c r="H8" s="14" t="s">
        <v>17</v>
      </c>
      <c r="I8" s="13" t="s">
        <v>16</v>
      </c>
      <c r="J8" s="53" t="s">
        <v>18</v>
      </c>
      <c r="K8" s="53" t="s">
        <v>19</v>
      </c>
      <c r="L8" s="53" t="s">
        <v>18</v>
      </c>
      <c r="M8" s="53" t="s">
        <v>20</v>
      </c>
      <c r="N8" s="53" t="s">
        <v>18</v>
      </c>
      <c r="O8" s="53" t="s">
        <v>19</v>
      </c>
      <c r="P8" s="53" t="s">
        <v>18</v>
      </c>
      <c r="Q8" s="53" t="s">
        <v>19</v>
      </c>
      <c r="R8" s="15"/>
      <c r="S8" s="3"/>
      <c r="T8" s="2"/>
      <c r="U8" s="2"/>
      <c r="V8" s="2"/>
      <c r="W8" s="2"/>
      <c r="X8" s="2"/>
      <c r="Y8" s="2"/>
      <c r="Z8" s="2"/>
      <c r="AA8" s="2"/>
      <c r="AB8" s="2"/>
    </row>
    <row r="9" spans="2:28" ht="15.9" customHeight="1" x14ac:dyDescent="0.25">
      <c r="B9" s="96" t="s">
        <v>43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8"/>
      <c r="S9" s="3"/>
      <c r="T9" s="2"/>
      <c r="U9" s="2"/>
      <c r="V9" s="2"/>
      <c r="W9" s="2"/>
      <c r="X9" s="2"/>
      <c r="Y9" s="2"/>
      <c r="Z9" s="2"/>
      <c r="AA9" s="2"/>
      <c r="AB9" s="2"/>
    </row>
    <row r="10" spans="2:28" ht="15.9" customHeight="1" x14ac:dyDescent="0.25">
      <c r="B10" s="35" t="s">
        <v>35</v>
      </c>
      <c r="C10" s="8" t="s">
        <v>37</v>
      </c>
      <c r="D10" s="8">
        <v>60</v>
      </c>
      <c r="E10" s="8" t="s">
        <v>25</v>
      </c>
      <c r="F10" s="53">
        <v>160</v>
      </c>
      <c r="G10" s="18">
        <v>0.03</v>
      </c>
      <c r="H10" s="19">
        <f>1.974*G10/(POWER(0.926,2))</f>
        <v>6.9063157452803323E-2</v>
      </c>
      <c r="I10" s="20">
        <v>0.01</v>
      </c>
      <c r="J10" s="21">
        <v>1764.56</v>
      </c>
      <c r="K10" s="22">
        <f>+J10-I10</f>
        <v>1764.55</v>
      </c>
      <c r="L10" s="23">
        <f>+J10</f>
        <v>1764.56</v>
      </c>
      <c r="M10" s="23">
        <v>1747.32</v>
      </c>
      <c r="N10" s="23">
        <f>+J10-L10</f>
        <v>0</v>
      </c>
      <c r="O10" s="27">
        <f>+K10-M10</f>
        <v>17.230000000000018</v>
      </c>
      <c r="P10" s="23">
        <v>0</v>
      </c>
      <c r="Q10" s="23">
        <f>+J10-M10</f>
        <v>17.240000000000009</v>
      </c>
      <c r="R10" s="36" t="s">
        <v>39</v>
      </c>
    </row>
    <row r="11" spans="2:28" ht="15.9" customHeight="1" x14ac:dyDescent="0.25">
      <c r="B11" s="35" t="s">
        <v>40</v>
      </c>
      <c r="C11" s="8" t="s">
        <v>36</v>
      </c>
      <c r="D11" s="8">
        <v>24</v>
      </c>
      <c r="E11" s="8" t="s">
        <v>42</v>
      </c>
      <c r="F11" s="53">
        <v>160</v>
      </c>
      <c r="G11" s="18">
        <v>0.23</v>
      </c>
      <c r="H11" s="19">
        <f>1.974*G11/(POWER(2.193,2))</f>
        <v>9.4405592224482457E-2</v>
      </c>
      <c r="I11" s="20">
        <v>0.38</v>
      </c>
      <c r="J11" s="21">
        <v>1746.65</v>
      </c>
      <c r="K11" s="22">
        <f>+J11-I11</f>
        <v>1746.27</v>
      </c>
      <c r="L11" s="24">
        <f>+J11</f>
        <v>1746.65</v>
      </c>
      <c r="M11" s="25">
        <v>1739.1</v>
      </c>
      <c r="N11" s="26">
        <f>+J11-L11</f>
        <v>0</v>
      </c>
      <c r="O11" s="22">
        <f>+K11-M11</f>
        <v>7.1700000000000728</v>
      </c>
      <c r="P11" s="26">
        <v>0</v>
      </c>
      <c r="Q11" s="23">
        <f>+J11-M11</f>
        <v>7.5500000000001819</v>
      </c>
      <c r="R11" s="36" t="s">
        <v>38</v>
      </c>
      <c r="S11" s="7"/>
    </row>
    <row r="12" spans="2:28" ht="15.9" customHeight="1" x14ac:dyDescent="0.25">
      <c r="B12" s="35" t="s">
        <v>37</v>
      </c>
      <c r="C12" s="8" t="s">
        <v>36</v>
      </c>
      <c r="D12" s="8">
        <f>17*6</f>
        <v>102</v>
      </c>
      <c r="E12" s="8" t="s">
        <v>33</v>
      </c>
      <c r="F12" s="53">
        <v>160</v>
      </c>
      <c r="G12" s="18">
        <v>0.64</v>
      </c>
      <c r="H12" s="19">
        <f>1.974*G12/(POWER(3.23,2))</f>
        <v>0.12109384734829243</v>
      </c>
      <c r="I12" s="20">
        <v>0.92</v>
      </c>
      <c r="J12" s="21">
        <f>+M10</f>
        <v>1747.32</v>
      </c>
      <c r="K12" s="22">
        <f>+J12-I12</f>
        <v>1746.3999999999999</v>
      </c>
      <c r="L12" s="24">
        <f>+M10</f>
        <v>1747.32</v>
      </c>
      <c r="M12" s="25">
        <f>+M11</f>
        <v>1739.1</v>
      </c>
      <c r="N12" s="26">
        <v>0</v>
      </c>
      <c r="O12" s="28">
        <f>+K12-M12</f>
        <v>7.2999999999999545</v>
      </c>
      <c r="P12" s="26">
        <v>0</v>
      </c>
      <c r="Q12" s="23">
        <f>+J12-M12</f>
        <v>8.2200000000000273</v>
      </c>
      <c r="R12" s="36" t="s">
        <v>34</v>
      </c>
    </row>
    <row r="13" spans="2:28" ht="15.9" customHeight="1" x14ac:dyDescent="0.25">
      <c r="B13" s="35" t="s">
        <v>36</v>
      </c>
      <c r="C13" s="8" t="s">
        <v>41</v>
      </c>
      <c r="D13" s="8">
        <f>397*6</f>
        <v>2382</v>
      </c>
      <c r="E13" s="8" t="s">
        <v>33</v>
      </c>
      <c r="F13" s="8">
        <v>160</v>
      </c>
      <c r="G13" s="18">
        <v>0.9</v>
      </c>
      <c r="H13" s="19">
        <f>1.974*G13/(POWER(3.23,2))</f>
        <v>0.1702882228335362</v>
      </c>
      <c r="I13" s="20">
        <v>1.07</v>
      </c>
      <c r="J13" s="21">
        <f>+K11</f>
        <v>1746.27</v>
      </c>
      <c r="K13" s="22">
        <f>+J13-I13</f>
        <v>1745.2</v>
      </c>
      <c r="L13" s="24">
        <f>+M12</f>
        <v>1739.1</v>
      </c>
      <c r="M13" s="25">
        <v>1738.9</v>
      </c>
      <c r="N13" s="26">
        <f>+O12</f>
        <v>7.2999999999999545</v>
      </c>
      <c r="O13" s="28">
        <f>+K13-M13</f>
        <v>6.2999999999999545</v>
      </c>
      <c r="P13" s="26">
        <f>+Q12</f>
        <v>8.2200000000000273</v>
      </c>
      <c r="Q13" s="23">
        <f>+J12-M13</f>
        <v>8.4199999999998454</v>
      </c>
      <c r="R13" s="36" t="s">
        <v>102</v>
      </c>
      <c r="S13" s="7"/>
    </row>
    <row r="14" spans="2:28" ht="15.9" customHeight="1" x14ac:dyDescent="0.25">
      <c r="B14" s="96" t="s">
        <v>50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8"/>
      <c r="S14" s="3"/>
      <c r="T14" s="2"/>
      <c r="U14" s="2"/>
      <c r="V14" s="2"/>
      <c r="W14" s="2"/>
      <c r="X14" s="2"/>
      <c r="Y14" s="2"/>
      <c r="Z14" s="2"/>
      <c r="AA14" s="2"/>
      <c r="AB14" s="2"/>
    </row>
    <row r="15" spans="2:28" ht="15.9" customHeight="1" x14ac:dyDescent="0.25">
      <c r="B15" s="35" t="s">
        <v>45</v>
      </c>
      <c r="C15" s="8" t="s">
        <v>46</v>
      </c>
      <c r="D15" s="8">
        <f>30*6</f>
        <v>180</v>
      </c>
      <c r="E15" s="8" t="s">
        <v>44</v>
      </c>
      <c r="F15" s="8">
        <v>250</v>
      </c>
      <c r="G15" s="18">
        <v>0.64</v>
      </c>
      <c r="H15" s="19">
        <f>1.974*G15/(POWER(1.464,2))</f>
        <v>0.589447281196811</v>
      </c>
      <c r="I15" s="20">
        <v>2.02</v>
      </c>
      <c r="J15" s="21">
        <f>+M15+I15</f>
        <v>1797.82</v>
      </c>
      <c r="K15" s="23">
        <f>+J15-I15</f>
        <v>1795.8</v>
      </c>
      <c r="L15" s="24">
        <v>1735.06</v>
      </c>
      <c r="M15" s="25">
        <v>1795.8</v>
      </c>
      <c r="N15" s="26">
        <f>+J15-L15</f>
        <v>62.759999999999991</v>
      </c>
      <c r="O15" s="29">
        <f>+K15-M15</f>
        <v>0</v>
      </c>
      <c r="P15" s="26">
        <f>+J15-L15</f>
        <v>62.759999999999991</v>
      </c>
      <c r="Q15" s="23">
        <f>+J15-M15</f>
        <v>2.0199999999999818</v>
      </c>
      <c r="R15" s="36" t="s">
        <v>103</v>
      </c>
      <c r="S15" s="7"/>
    </row>
    <row r="16" spans="2:28" ht="15.9" customHeight="1" x14ac:dyDescent="0.25">
      <c r="B16" s="96" t="s">
        <v>104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8"/>
      <c r="S16" s="3"/>
      <c r="T16" s="2"/>
      <c r="U16" s="2"/>
      <c r="V16" s="2"/>
      <c r="W16" s="2"/>
      <c r="X16" s="2"/>
      <c r="Y16" s="2"/>
      <c r="Z16" s="2"/>
      <c r="AA16" s="2"/>
      <c r="AB16" s="2"/>
    </row>
    <row r="17" spans="2:28" ht="15.9" customHeight="1" x14ac:dyDescent="0.25">
      <c r="B17" s="96" t="s">
        <v>47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8"/>
      <c r="S17" s="3"/>
      <c r="T17" s="2"/>
      <c r="U17" s="2"/>
      <c r="V17" s="2"/>
      <c r="W17" s="2"/>
      <c r="X17" s="2"/>
      <c r="Y17" s="2"/>
      <c r="Z17" s="2"/>
      <c r="AA17" s="2"/>
      <c r="AB17" s="2"/>
    </row>
    <row r="18" spans="2:28" ht="15.9" customHeight="1" x14ac:dyDescent="0.25">
      <c r="B18" s="9">
        <v>140</v>
      </c>
      <c r="C18" s="10">
        <v>142</v>
      </c>
      <c r="D18" s="8">
        <v>36</v>
      </c>
      <c r="E18" s="8" t="s">
        <v>48</v>
      </c>
      <c r="F18" s="53">
        <v>160</v>
      </c>
      <c r="G18" s="18">
        <f>27*0.01695</f>
        <v>0.45765</v>
      </c>
      <c r="H18" s="19">
        <f>1.974*G18/(POWER(1.532,2))</f>
        <v>0.38491344783862452</v>
      </c>
      <c r="I18" s="20">
        <v>0.18</v>
      </c>
      <c r="J18" s="21">
        <v>1795.8</v>
      </c>
      <c r="K18" s="23">
        <f t="shared" ref="K18:K32" si="0">+J18-I18</f>
        <v>1795.62</v>
      </c>
      <c r="L18" s="23">
        <f t="shared" ref="L18:L22" si="1">+J18</f>
        <v>1795.8</v>
      </c>
      <c r="M18" s="23">
        <v>1789.92</v>
      </c>
      <c r="N18" s="23">
        <f t="shared" ref="N18:N32" si="2">+J18-L18</f>
        <v>0</v>
      </c>
      <c r="O18" s="30">
        <f t="shared" ref="O18:O32" si="3">+K18-M18</f>
        <v>5.6999999999998181</v>
      </c>
      <c r="P18" s="23">
        <v>0</v>
      </c>
      <c r="Q18" s="23">
        <f>+J18-M18</f>
        <v>5.8799999999998818</v>
      </c>
      <c r="R18" s="36" t="s">
        <v>63</v>
      </c>
      <c r="S18" s="3"/>
      <c r="T18" s="2"/>
      <c r="U18" s="2"/>
      <c r="V18" s="2"/>
      <c r="W18" s="2"/>
      <c r="X18" s="2"/>
      <c r="Y18" s="2"/>
      <c r="Z18" s="2"/>
      <c r="AA18" s="2"/>
      <c r="AB18" s="2"/>
    </row>
    <row r="19" spans="2:28" ht="15.9" customHeight="1" x14ac:dyDescent="0.25">
      <c r="B19" s="9">
        <f>+C18</f>
        <v>142</v>
      </c>
      <c r="C19" s="10">
        <v>143</v>
      </c>
      <c r="D19" s="8">
        <v>12</v>
      </c>
      <c r="E19" s="8" t="s">
        <v>48</v>
      </c>
      <c r="F19" s="53">
        <v>160</v>
      </c>
      <c r="G19" s="18">
        <f>25*0.01695</f>
        <v>0.42375000000000002</v>
      </c>
      <c r="H19" s="19">
        <f>1.974*G19/(POWER(1.532,2))</f>
        <v>0.356401340591319</v>
      </c>
      <c r="I19" s="20">
        <v>0.05</v>
      </c>
      <c r="J19" s="21">
        <f>+K18</f>
        <v>1795.62</v>
      </c>
      <c r="K19" s="23">
        <f t="shared" si="0"/>
        <v>1795.57</v>
      </c>
      <c r="L19" s="23">
        <f t="shared" si="1"/>
        <v>1795.62</v>
      </c>
      <c r="M19" s="23">
        <v>1786.88</v>
      </c>
      <c r="N19" s="23">
        <f>+O18</f>
        <v>5.6999999999998181</v>
      </c>
      <c r="O19" s="30">
        <f t="shared" si="3"/>
        <v>8.6899999999998272</v>
      </c>
      <c r="P19" s="23">
        <f>+Q18</f>
        <v>5.8799999999998818</v>
      </c>
      <c r="Q19" s="23">
        <f>+J18-M19</f>
        <v>8.9199999999998454</v>
      </c>
      <c r="R19" s="36" t="s">
        <v>49</v>
      </c>
      <c r="S19" s="3"/>
      <c r="T19" s="2"/>
      <c r="U19" s="2"/>
      <c r="V19" s="2"/>
      <c r="W19" s="2"/>
      <c r="X19" s="2"/>
      <c r="Y19" s="2"/>
      <c r="Z19" s="2"/>
      <c r="AA19" s="2"/>
      <c r="AB19" s="2"/>
    </row>
    <row r="20" spans="2:28" ht="15.9" customHeight="1" x14ac:dyDescent="0.25">
      <c r="B20" s="9">
        <f>+B19</f>
        <v>142</v>
      </c>
      <c r="C20" s="10" t="s">
        <v>61</v>
      </c>
      <c r="D20" s="8">
        <v>42</v>
      </c>
      <c r="E20" s="8" t="s">
        <v>54</v>
      </c>
      <c r="F20" s="53">
        <v>315</v>
      </c>
      <c r="G20" s="18">
        <f>2*0.01695</f>
        <v>3.39E-2</v>
      </c>
      <c r="H20" s="19">
        <f>1.974*G20/(POWER(0.716,2))</f>
        <v>0.13053314503292654</v>
      </c>
      <c r="I20" s="20">
        <v>0.05</v>
      </c>
      <c r="J20" s="21">
        <f>+J19</f>
        <v>1795.62</v>
      </c>
      <c r="K20" s="23">
        <f t="shared" si="0"/>
        <v>1795.57</v>
      </c>
      <c r="L20" s="23">
        <f t="shared" si="1"/>
        <v>1795.62</v>
      </c>
      <c r="M20" s="23">
        <v>1783.75</v>
      </c>
      <c r="N20" s="23">
        <f>+N19</f>
        <v>5.6999999999998181</v>
      </c>
      <c r="O20" s="30">
        <f t="shared" si="3"/>
        <v>11.819999999999936</v>
      </c>
      <c r="P20" s="23">
        <f>+P19</f>
        <v>5.8799999999998818</v>
      </c>
      <c r="Q20" s="23">
        <f>+J18-M20</f>
        <v>12.049999999999955</v>
      </c>
      <c r="R20" s="36" t="s">
        <v>65</v>
      </c>
      <c r="S20" s="3"/>
      <c r="T20" s="2"/>
      <c r="U20" s="2"/>
      <c r="V20" s="2"/>
      <c r="W20" s="2"/>
      <c r="X20" s="2"/>
      <c r="Y20" s="2"/>
      <c r="Z20" s="2"/>
      <c r="AA20" s="2"/>
      <c r="AB20" s="2"/>
    </row>
    <row r="21" spans="2:28" ht="15.9" customHeight="1" x14ac:dyDescent="0.25">
      <c r="B21" s="9">
        <f>+C19</f>
        <v>143</v>
      </c>
      <c r="C21" s="10">
        <v>152</v>
      </c>
      <c r="D21" s="8">
        <f>39*6</f>
        <v>234</v>
      </c>
      <c r="E21" s="8" t="s">
        <v>48</v>
      </c>
      <c r="F21" s="53">
        <v>160</v>
      </c>
      <c r="G21" s="18">
        <f>24*0.01695</f>
        <v>0.40679999999999999</v>
      </c>
      <c r="H21" s="19">
        <f>1.974*G21/(POWER(1.532,2))</f>
        <v>0.34214528696766622</v>
      </c>
      <c r="I21" s="20">
        <v>0.92</v>
      </c>
      <c r="J21" s="21">
        <f>+K19</f>
        <v>1795.57</v>
      </c>
      <c r="K21" s="23">
        <f t="shared" si="0"/>
        <v>1794.6499999999999</v>
      </c>
      <c r="L21" s="23">
        <f t="shared" si="1"/>
        <v>1795.57</v>
      </c>
      <c r="M21" s="23">
        <v>1772.37</v>
      </c>
      <c r="N21" s="23">
        <f>+O19</f>
        <v>8.6899999999998272</v>
      </c>
      <c r="O21" s="30">
        <f t="shared" si="3"/>
        <v>22.279999999999973</v>
      </c>
      <c r="P21" s="23">
        <f>+Q19</f>
        <v>8.9199999999998454</v>
      </c>
      <c r="Q21" s="23">
        <f>+J18-M21</f>
        <v>23.430000000000064</v>
      </c>
      <c r="R21" s="36" t="s">
        <v>67</v>
      </c>
      <c r="S21" s="3"/>
      <c r="T21" s="2"/>
      <c r="U21" s="2"/>
      <c r="V21" s="2"/>
      <c r="W21" s="2"/>
      <c r="X21" s="2"/>
      <c r="Y21" s="2"/>
      <c r="Z21" s="2"/>
      <c r="AA21" s="2"/>
      <c r="AB21" s="2"/>
    </row>
    <row r="22" spans="2:28" ht="15.9" customHeight="1" x14ac:dyDescent="0.25">
      <c r="B22" s="9">
        <f>+B21</f>
        <v>143</v>
      </c>
      <c r="C22" s="10" t="s">
        <v>62</v>
      </c>
      <c r="D22" s="8">
        <v>56</v>
      </c>
      <c r="E22" s="8" t="s">
        <v>54</v>
      </c>
      <c r="F22" s="53">
        <v>315</v>
      </c>
      <c r="G22" s="18">
        <f>1*0.01695</f>
        <v>1.695E-2</v>
      </c>
      <c r="H22" s="19">
        <f>1.974*G22/(POWER(0.716,2))</f>
        <v>6.526657251646327E-2</v>
      </c>
      <c r="I22" s="20">
        <v>0.03</v>
      </c>
      <c r="J22" s="21">
        <f>+K19</f>
        <v>1795.57</v>
      </c>
      <c r="K22" s="23">
        <f t="shared" si="0"/>
        <v>1795.54</v>
      </c>
      <c r="L22" s="23">
        <f t="shared" si="1"/>
        <v>1795.57</v>
      </c>
      <c r="M22" s="23">
        <v>1778.39</v>
      </c>
      <c r="N22" s="23">
        <f>+O19</f>
        <v>8.6899999999998272</v>
      </c>
      <c r="O22" s="30">
        <f t="shared" si="3"/>
        <v>17.149999999999864</v>
      </c>
      <c r="P22" s="23">
        <f>+P21</f>
        <v>8.9199999999998454</v>
      </c>
      <c r="Q22" s="23">
        <f>+J18-M22</f>
        <v>17.409999999999854</v>
      </c>
      <c r="R22" s="36" t="s">
        <v>66</v>
      </c>
      <c r="S22" s="3"/>
      <c r="T22" s="2"/>
      <c r="U22" s="2"/>
      <c r="V22" s="2"/>
      <c r="W22" s="2"/>
      <c r="X22" s="2"/>
      <c r="Y22" s="2"/>
      <c r="Z22" s="2"/>
      <c r="AA22" s="2"/>
      <c r="AB22" s="2"/>
    </row>
    <row r="23" spans="2:28" ht="15.9" customHeight="1" x14ac:dyDescent="0.25">
      <c r="B23" s="9">
        <f>+C21</f>
        <v>152</v>
      </c>
      <c r="C23" s="10">
        <v>156</v>
      </c>
      <c r="D23" s="8">
        <v>60</v>
      </c>
      <c r="E23" s="8" t="s">
        <v>54</v>
      </c>
      <c r="F23" s="53">
        <v>315</v>
      </c>
      <c r="G23" s="18">
        <f>2*0.01695</f>
        <v>3.39E-2</v>
      </c>
      <c r="H23" s="19">
        <f>1.974*G23/(POWER(0.716,2))</f>
        <v>0.13053314503292654</v>
      </c>
      <c r="I23" s="20">
        <v>0.08</v>
      </c>
      <c r="J23" s="21">
        <f>+K21</f>
        <v>1794.6499999999999</v>
      </c>
      <c r="K23" s="23">
        <f t="shared" si="0"/>
        <v>1794.57</v>
      </c>
      <c r="L23" s="23">
        <f>+M21</f>
        <v>1772.37</v>
      </c>
      <c r="M23" s="23">
        <v>1761.77</v>
      </c>
      <c r="N23" s="23">
        <f t="shared" si="2"/>
        <v>22.279999999999973</v>
      </c>
      <c r="O23" s="30">
        <f t="shared" si="3"/>
        <v>32.799999999999955</v>
      </c>
      <c r="P23" s="23">
        <f>+Q21</f>
        <v>23.430000000000064</v>
      </c>
      <c r="Q23" s="23">
        <f>+J18-M23</f>
        <v>34.029999999999973</v>
      </c>
      <c r="R23" s="36" t="s">
        <v>68</v>
      </c>
      <c r="S23" s="3"/>
      <c r="T23" s="2"/>
      <c r="U23" s="2"/>
      <c r="V23" s="2"/>
      <c r="W23" s="2"/>
      <c r="X23" s="2"/>
      <c r="Y23" s="2"/>
      <c r="Z23" s="2"/>
      <c r="AA23" s="2"/>
      <c r="AB23" s="2"/>
    </row>
    <row r="24" spans="2:28" ht="15.9" customHeight="1" x14ac:dyDescent="0.25">
      <c r="B24" s="9">
        <f>+B23</f>
        <v>152</v>
      </c>
      <c r="C24" s="10">
        <v>157</v>
      </c>
      <c r="D24" s="8">
        <v>30</v>
      </c>
      <c r="E24" s="8" t="s">
        <v>57</v>
      </c>
      <c r="F24" s="53">
        <v>160</v>
      </c>
      <c r="G24" s="18">
        <f>17*0.01695</f>
        <v>0.28815000000000002</v>
      </c>
      <c r="H24" s="19">
        <f>1.974*G24/(POWER(1.195,2))</f>
        <v>0.39831802664519178</v>
      </c>
      <c r="I24" s="20">
        <v>0.21</v>
      </c>
      <c r="J24" s="21">
        <f>+J23</f>
        <v>1794.6499999999999</v>
      </c>
      <c r="K24" s="23">
        <f t="shared" si="0"/>
        <v>1794.4399999999998</v>
      </c>
      <c r="L24" s="23">
        <f>+L23</f>
        <v>1772.37</v>
      </c>
      <c r="M24" s="23">
        <v>1761.32</v>
      </c>
      <c r="N24" s="23">
        <f t="shared" si="2"/>
        <v>22.279999999999973</v>
      </c>
      <c r="O24" s="30">
        <f t="shared" si="3"/>
        <v>33.119999999999891</v>
      </c>
      <c r="P24" s="23">
        <f>+P23</f>
        <v>23.430000000000064</v>
      </c>
      <c r="Q24" s="23">
        <f>+J18-M24</f>
        <v>34.480000000000018</v>
      </c>
      <c r="R24" s="36" t="s">
        <v>69</v>
      </c>
      <c r="S24" s="3"/>
      <c r="T24" s="2"/>
      <c r="U24" s="2"/>
      <c r="V24" s="2"/>
      <c r="W24" s="2"/>
      <c r="X24" s="2"/>
      <c r="Y24" s="2"/>
      <c r="Z24" s="2"/>
      <c r="AA24" s="2"/>
      <c r="AB24" s="2"/>
    </row>
    <row r="25" spans="2:28" ht="15.9" customHeight="1" x14ac:dyDescent="0.25">
      <c r="B25" s="9">
        <f>+C24</f>
        <v>157</v>
      </c>
      <c r="C25" s="10">
        <v>160</v>
      </c>
      <c r="D25" s="8">
        <v>60</v>
      </c>
      <c r="E25" s="8" t="s">
        <v>54</v>
      </c>
      <c r="F25" s="53">
        <v>315</v>
      </c>
      <c r="G25" s="18">
        <f>2*0.01695</f>
        <v>3.39E-2</v>
      </c>
      <c r="H25" s="19">
        <f>1.974*G25/(POWER(0.716,2))</f>
        <v>0.13053314503292654</v>
      </c>
      <c r="I25" s="20">
        <v>0.08</v>
      </c>
      <c r="J25" s="21">
        <f>+K24</f>
        <v>1794.4399999999998</v>
      </c>
      <c r="K25" s="23">
        <f t="shared" si="0"/>
        <v>1794.36</v>
      </c>
      <c r="L25" s="23">
        <f>+M24</f>
        <v>1761.32</v>
      </c>
      <c r="M25" s="23">
        <v>1749.1</v>
      </c>
      <c r="N25" s="23">
        <f t="shared" si="2"/>
        <v>33.119999999999891</v>
      </c>
      <c r="O25" s="30">
        <f t="shared" si="3"/>
        <v>45.259999999999991</v>
      </c>
      <c r="P25" s="23">
        <f>+Q24</f>
        <v>34.480000000000018</v>
      </c>
      <c r="Q25" s="23">
        <f>+J18-M25</f>
        <v>46.700000000000045</v>
      </c>
      <c r="R25" s="36" t="s">
        <v>70</v>
      </c>
      <c r="S25" s="3"/>
      <c r="T25" s="2"/>
      <c r="U25" s="2"/>
      <c r="V25" s="2"/>
      <c r="W25" s="2"/>
      <c r="X25" s="2"/>
      <c r="Y25" s="2"/>
      <c r="Z25" s="2"/>
      <c r="AA25" s="2"/>
      <c r="AB25" s="2"/>
    </row>
    <row r="26" spans="2:28" ht="15.9" customHeight="1" x14ac:dyDescent="0.25">
      <c r="B26" s="9">
        <f>+B25</f>
        <v>157</v>
      </c>
      <c r="C26" s="10">
        <v>162</v>
      </c>
      <c r="D26" s="8">
        <v>24</v>
      </c>
      <c r="E26" s="8" t="s">
        <v>57</v>
      </c>
      <c r="F26" s="53">
        <v>160</v>
      </c>
      <c r="G26" s="18">
        <f>15*0.01695</f>
        <v>0.25424999999999998</v>
      </c>
      <c r="H26" s="19">
        <f>1.974*G26/(POWER(1.195,2))</f>
        <v>0.3514570823339927</v>
      </c>
      <c r="I26" s="20">
        <v>0.13</v>
      </c>
      <c r="J26" s="21">
        <f>+J25</f>
        <v>1794.4399999999998</v>
      </c>
      <c r="K26" s="23">
        <f t="shared" si="0"/>
        <v>1794.3099999999997</v>
      </c>
      <c r="L26" s="23">
        <f>+L25</f>
        <v>1761.32</v>
      </c>
      <c r="M26" s="23">
        <v>1757.59</v>
      </c>
      <c r="N26" s="23">
        <f t="shared" si="2"/>
        <v>33.119999999999891</v>
      </c>
      <c r="O26" s="30">
        <f t="shared" si="3"/>
        <v>36.7199999999998</v>
      </c>
      <c r="P26" s="23">
        <f>+P25</f>
        <v>34.480000000000018</v>
      </c>
      <c r="Q26" s="23">
        <f>+J18-M26</f>
        <v>38.210000000000036</v>
      </c>
      <c r="R26" s="36" t="s">
        <v>71</v>
      </c>
      <c r="S26" s="3"/>
      <c r="T26" s="2"/>
      <c r="U26" s="2"/>
      <c r="V26" s="2"/>
      <c r="W26" s="2"/>
      <c r="X26" s="2"/>
      <c r="Y26" s="2"/>
      <c r="Z26" s="2"/>
      <c r="AA26" s="2"/>
      <c r="AB26" s="2"/>
    </row>
    <row r="27" spans="2:28" ht="15.9" customHeight="1" x14ac:dyDescent="0.25">
      <c r="B27" s="9">
        <f>+C26</f>
        <v>162</v>
      </c>
      <c r="C27" s="10">
        <v>165</v>
      </c>
      <c r="D27" s="8">
        <f t="shared" ref="D27:D29" si="4">8*6</f>
        <v>48</v>
      </c>
      <c r="E27" s="8" t="s">
        <v>25</v>
      </c>
      <c r="F27" s="53">
        <v>250</v>
      </c>
      <c r="G27" s="18">
        <f>6*0.01695</f>
        <v>0.1017</v>
      </c>
      <c r="H27" s="19">
        <f>1.974*G27/(POWER(0.926,2))</f>
        <v>0.23412410376500328</v>
      </c>
      <c r="I27" s="20">
        <v>0.16</v>
      </c>
      <c r="J27" s="21">
        <f>+K26</f>
        <v>1794.3099999999997</v>
      </c>
      <c r="K27" s="23">
        <f t="shared" si="0"/>
        <v>1794.1499999999996</v>
      </c>
      <c r="L27" s="23">
        <f>+M26</f>
        <v>1757.59</v>
      </c>
      <c r="M27" s="23">
        <v>1745.86</v>
      </c>
      <c r="N27" s="23">
        <f t="shared" si="2"/>
        <v>36.7199999999998</v>
      </c>
      <c r="O27" s="30">
        <f t="shared" si="3"/>
        <v>48.289999999999736</v>
      </c>
      <c r="P27" s="23">
        <f>+Q26</f>
        <v>38.210000000000036</v>
      </c>
      <c r="Q27" s="23">
        <f>+J18-M27</f>
        <v>49.940000000000055</v>
      </c>
      <c r="R27" s="36" t="s">
        <v>72</v>
      </c>
      <c r="S27" s="3"/>
      <c r="T27" s="2"/>
      <c r="U27" s="2"/>
      <c r="V27" s="2"/>
      <c r="W27" s="2"/>
      <c r="X27" s="2"/>
      <c r="Y27" s="2"/>
      <c r="Z27" s="2"/>
      <c r="AA27" s="2"/>
      <c r="AB27" s="2"/>
    </row>
    <row r="28" spans="2:28" ht="15.9" customHeight="1" x14ac:dyDescent="0.25">
      <c r="B28" s="9">
        <f>+B27</f>
        <v>162</v>
      </c>
      <c r="C28" s="10">
        <v>167</v>
      </c>
      <c r="D28" s="8">
        <v>66</v>
      </c>
      <c r="E28" s="8" t="s">
        <v>57</v>
      </c>
      <c r="F28" s="53">
        <v>160</v>
      </c>
      <c r="G28" s="18">
        <f>9*0.01695</f>
        <v>0.15254999999999999</v>
      </c>
      <c r="H28" s="19">
        <f>1.974*G28/(POWER(1.195,2))</f>
        <v>0.21087424940039565</v>
      </c>
      <c r="I28" s="20">
        <v>0.14000000000000001</v>
      </c>
      <c r="J28" s="21">
        <f>+J27</f>
        <v>1794.3099999999997</v>
      </c>
      <c r="K28" s="23">
        <f t="shared" si="0"/>
        <v>1794.1699999999996</v>
      </c>
      <c r="L28" s="23">
        <f>+L27</f>
        <v>1757.59</v>
      </c>
      <c r="M28" s="23">
        <v>1754.31</v>
      </c>
      <c r="N28" s="23">
        <f t="shared" si="2"/>
        <v>36.7199999999998</v>
      </c>
      <c r="O28" s="30">
        <f t="shared" si="3"/>
        <v>39.859999999999673</v>
      </c>
      <c r="P28" s="23">
        <f>+P27</f>
        <v>38.210000000000036</v>
      </c>
      <c r="Q28" s="23">
        <f>+J18-M28</f>
        <v>41.490000000000009</v>
      </c>
      <c r="R28" s="36" t="s">
        <v>73</v>
      </c>
      <c r="S28" s="3"/>
      <c r="T28" s="2"/>
      <c r="U28" s="2"/>
      <c r="V28" s="2"/>
      <c r="W28" s="2"/>
      <c r="X28" s="2"/>
      <c r="Y28" s="2"/>
      <c r="Z28" s="2"/>
      <c r="AA28" s="2"/>
      <c r="AB28" s="2"/>
    </row>
    <row r="29" spans="2:28" ht="15.9" customHeight="1" x14ac:dyDescent="0.25">
      <c r="B29" s="9">
        <f>+C28</f>
        <v>167</v>
      </c>
      <c r="C29" s="10">
        <v>170</v>
      </c>
      <c r="D29" s="8">
        <f t="shared" si="4"/>
        <v>48</v>
      </c>
      <c r="E29" s="8" t="s">
        <v>54</v>
      </c>
      <c r="F29" s="53">
        <v>315</v>
      </c>
      <c r="G29" s="18">
        <f>3*0.01695</f>
        <v>5.0849999999999999E-2</v>
      </c>
      <c r="H29" s="19">
        <f>1.974*G29/(POWER(0.716,2))</f>
        <v>0.19579971754938982</v>
      </c>
      <c r="I29" s="20">
        <v>0.16</v>
      </c>
      <c r="J29" s="21">
        <f>+K28</f>
        <v>1794.1699999999996</v>
      </c>
      <c r="K29" s="23">
        <f t="shared" si="0"/>
        <v>1794.0099999999995</v>
      </c>
      <c r="L29" s="23">
        <f>+M28</f>
        <v>1754.31</v>
      </c>
      <c r="M29" s="23">
        <v>1743.57</v>
      </c>
      <c r="N29" s="23">
        <f t="shared" si="2"/>
        <v>39.859999999999673</v>
      </c>
      <c r="O29" s="30">
        <f>+P28</f>
        <v>38.210000000000036</v>
      </c>
      <c r="P29" s="23">
        <f>+Q28</f>
        <v>41.490000000000009</v>
      </c>
      <c r="Q29" s="23">
        <f>+J18-M29</f>
        <v>52.230000000000018</v>
      </c>
      <c r="R29" s="36" t="s">
        <v>74</v>
      </c>
      <c r="S29" s="3"/>
      <c r="T29" s="2"/>
      <c r="U29" s="2"/>
      <c r="V29" s="2"/>
      <c r="W29" s="2"/>
      <c r="X29" s="2"/>
      <c r="Y29" s="2"/>
      <c r="Z29" s="2"/>
      <c r="AA29" s="2"/>
      <c r="AB29" s="2"/>
    </row>
    <row r="30" spans="2:28" ht="15.9" customHeight="1" x14ac:dyDescent="0.25">
      <c r="B30" s="9">
        <f>+B29</f>
        <v>167</v>
      </c>
      <c r="C30" s="10">
        <v>176</v>
      </c>
      <c r="D30" s="8">
        <f>20*6</f>
        <v>120</v>
      </c>
      <c r="E30" s="8" t="s">
        <v>25</v>
      </c>
      <c r="F30" s="53">
        <v>250</v>
      </c>
      <c r="G30" s="18">
        <f>5*0.01695</f>
        <v>8.4749999999999992E-2</v>
      </c>
      <c r="H30" s="19">
        <f>1.974*G30/(POWER(0.926,2))</f>
        <v>0.1951034198041694</v>
      </c>
      <c r="I30" s="20">
        <v>0.27</v>
      </c>
      <c r="J30" s="21">
        <f>+J29</f>
        <v>1794.1699999999996</v>
      </c>
      <c r="K30" s="23">
        <f t="shared" si="0"/>
        <v>1793.8999999999996</v>
      </c>
      <c r="L30" s="23">
        <f>+L29</f>
        <v>1754.31</v>
      </c>
      <c r="M30" s="23">
        <v>1743.97</v>
      </c>
      <c r="N30" s="23">
        <f t="shared" si="2"/>
        <v>39.859999999999673</v>
      </c>
      <c r="O30" s="30">
        <f t="shared" si="3"/>
        <v>49.929999999999609</v>
      </c>
      <c r="P30" s="23">
        <f t="shared" ref="P30" si="5">+P29</f>
        <v>41.490000000000009</v>
      </c>
      <c r="Q30" s="23">
        <f>+J18-M30</f>
        <v>51.829999999999927</v>
      </c>
      <c r="R30" s="36" t="s">
        <v>75</v>
      </c>
      <c r="S30" s="3"/>
      <c r="T30" s="2"/>
      <c r="U30" s="2"/>
      <c r="V30" s="2"/>
      <c r="W30" s="2"/>
      <c r="X30" s="2"/>
      <c r="Y30" s="2"/>
      <c r="Z30" s="2"/>
      <c r="AA30" s="2"/>
      <c r="AB30" s="2"/>
    </row>
    <row r="31" spans="2:28" ht="15.9" customHeight="1" x14ac:dyDescent="0.25">
      <c r="B31" s="9">
        <v>176</v>
      </c>
      <c r="C31" s="10">
        <v>178</v>
      </c>
      <c r="D31" s="8">
        <v>48</v>
      </c>
      <c r="E31" s="8" t="s">
        <v>54</v>
      </c>
      <c r="F31" s="53">
        <v>315</v>
      </c>
      <c r="G31" s="18">
        <f>2*0.01695</f>
        <v>3.39E-2</v>
      </c>
      <c r="H31" s="19">
        <f>1.974*G31/(POWER(0.716,2))</f>
        <v>0.13053314503292654</v>
      </c>
      <c r="I31" s="20">
        <v>0.06</v>
      </c>
      <c r="J31" s="21">
        <f>+M30</f>
        <v>1743.97</v>
      </c>
      <c r="K31" s="23">
        <f t="shared" si="0"/>
        <v>1743.91</v>
      </c>
      <c r="L31" s="23">
        <f>+M30</f>
        <v>1743.97</v>
      </c>
      <c r="M31" s="23">
        <v>1718.94</v>
      </c>
      <c r="N31" s="23">
        <v>0</v>
      </c>
      <c r="O31" s="30">
        <f t="shared" si="3"/>
        <v>24.970000000000027</v>
      </c>
      <c r="P31" s="23">
        <v>0</v>
      </c>
      <c r="Q31" s="23">
        <f>+J31-M31</f>
        <v>25.029999999999973</v>
      </c>
      <c r="R31" s="36" t="s">
        <v>76</v>
      </c>
      <c r="S31" s="3"/>
      <c r="T31" s="2"/>
      <c r="U31" s="2"/>
      <c r="V31" s="2"/>
      <c r="W31" s="2"/>
      <c r="X31" s="2"/>
      <c r="Y31" s="2"/>
      <c r="Z31" s="2"/>
      <c r="AA31" s="2"/>
      <c r="AB31" s="2"/>
    </row>
    <row r="32" spans="2:28" ht="15.9" customHeight="1" x14ac:dyDescent="0.25">
      <c r="B32" s="9">
        <f>+B30</f>
        <v>167</v>
      </c>
      <c r="C32" s="10">
        <v>185</v>
      </c>
      <c r="D32" s="8">
        <f>38*6</f>
        <v>228</v>
      </c>
      <c r="E32" s="8" t="s">
        <v>54</v>
      </c>
      <c r="F32" s="53">
        <v>315</v>
      </c>
      <c r="G32" s="18">
        <f>1*0.01695</f>
        <v>1.695E-2</v>
      </c>
      <c r="H32" s="19">
        <f>1.974*G32/(POWER(0.716,2))</f>
        <v>6.526657251646327E-2</v>
      </c>
      <c r="I32" s="20">
        <v>0.14000000000000001</v>
      </c>
      <c r="J32" s="21">
        <f>+J30</f>
        <v>1794.1699999999996</v>
      </c>
      <c r="K32" s="23">
        <f t="shared" si="0"/>
        <v>1794.0299999999995</v>
      </c>
      <c r="L32" s="23">
        <f>+L30</f>
        <v>1754.31</v>
      </c>
      <c r="M32" s="23">
        <v>1766.91</v>
      </c>
      <c r="N32" s="23">
        <f t="shared" si="2"/>
        <v>39.859999999999673</v>
      </c>
      <c r="O32" s="30">
        <f t="shared" si="3"/>
        <v>27.119999999999436</v>
      </c>
      <c r="P32" s="23">
        <f>+P30</f>
        <v>41.490000000000009</v>
      </c>
      <c r="Q32" s="23">
        <f>+J18-M32</f>
        <v>28.889999999999873</v>
      </c>
      <c r="R32" s="36" t="s">
        <v>77</v>
      </c>
      <c r="S32" s="3"/>
      <c r="T32" s="2"/>
      <c r="U32" s="2"/>
      <c r="V32" s="2"/>
      <c r="W32" s="2"/>
      <c r="X32" s="2"/>
      <c r="Y32" s="2"/>
      <c r="Z32" s="2"/>
      <c r="AA32" s="2"/>
      <c r="AB32" s="2"/>
    </row>
    <row r="33" spans="2:28" ht="15.9" customHeight="1" x14ac:dyDescent="0.25">
      <c r="B33" s="96" t="s">
        <v>64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8"/>
      <c r="S33" s="3"/>
      <c r="T33" s="2"/>
      <c r="U33" s="2"/>
      <c r="V33" s="2"/>
      <c r="W33" s="2"/>
      <c r="X33" s="2"/>
      <c r="Y33" s="2"/>
      <c r="Z33" s="2"/>
      <c r="AA33" s="2"/>
      <c r="AB33" s="2"/>
    </row>
    <row r="34" spans="2:28" ht="15.9" customHeight="1" x14ac:dyDescent="0.25">
      <c r="B34" s="9">
        <v>140</v>
      </c>
      <c r="C34" s="10">
        <v>187</v>
      </c>
      <c r="D34" s="8">
        <f>8*6</f>
        <v>48</v>
      </c>
      <c r="E34" s="8" t="s">
        <v>48</v>
      </c>
      <c r="F34" s="53">
        <v>160</v>
      </c>
      <c r="G34" s="18">
        <f>30*0.01695</f>
        <v>0.50849999999999995</v>
      </c>
      <c r="H34" s="19">
        <f>1.974*G34/(POWER(1.532,2))</f>
        <v>0.42768160870958283</v>
      </c>
      <c r="I34" s="20">
        <v>0.28000000000000003</v>
      </c>
      <c r="J34" s="21">
        <f>+K15</f>
        <v>1795.8</v>
      </c>
      <c r="K34" s="23">
        <f t="shared" ref="K34:K36" si="6">+J34-I34</f>
        <v>1795.52</v>
      </c>
      <c r="L34" s="23">
        <f t="shared" ref="L34" si="7">+J34</f>
        <v>1795.8</v>
      </c>
      <c r="M34" s="23">
        <v>1786.88</v>
      </c>
      <c r="N34" s="23">
        <f t="shared" ref="N34:N36" si="8">+J34-L34</f>
        <v>0</v>
      </c>
      <c r="O34" s="30">
        <f>+K34-M34</f>
        <v>8.6399999999998727</v>
      </c>
      <c r="P34" s="23">
        <v>0</v>
      </c>
      <c r="Q34" s="23">
        <f>+J34-M34</f>
        <v>8.9199999999998454</v>
      </c>
      <c r="R34" s="36" t="s">
        <v>49</v>
      </c>
      <c r="S34" s="3"/>
      <c r="T34" s="2"/>
      <c r="U34" s="2"/>
      <c r="V34" s="2"/>
      <c r="W34" s="2"/>
      <c r="X34" s="2"/>
      <c r="Y34" s="2"/>
      <c r="Z34" s="2"/>
      <c r="AA34" s="2"/>
      <c r="AB34" s="2"/>
    </row>
    <row r="35" spans="2:28" ht="15.9" customHeight="1" x14ac:dyDescent="0.25">
      <c r="B35" s="9">
        <v>187</v>
      </c>
      <c r="C35" s="10">
        <v>198</v>
      </c>
      <c r="D35" s="8">
        <f>16*6</f>
        <v>96</v>
      </c>
      <c r="E35" s="8" t="s">
        <v>25</v>
      </c>
      <c r="F35" s="53">
        <v>250</v>
      </c>
      <c r="G35" s="18">
        <f>5*0.01695</f>
        <v>8.4749999999999992E-2</v>
      </c>
      <c r="H35" s="19">
        <f>1.974*G35/(POWER(0.926,2))</f>
        <v>0.1951034198041694</v>
      </c>
      <c r="I35" s="20">
        <v>0.21</v>
      </c>
      <c r="J35" s="21">
        <f>+K34</f>
        <v>1795.52</v>
      </c>
      <c r="K35" s="23">
        <f t="shared" si="6"/>
        <v>1795.31</v>
      </c>
      <c r="L35" s="23">
        <f>+M34</f>
        <v>1786.88</v>
      </c>
      <c r="M35" s="23">
        <v>1767.72</v>
      </c>
      <c r="N35" s="23">
        <f t="shared" si="8"/>
        <v>8.6399999999998727</v>
      </c>
      <c r="O35" s="30">
        <f t="shared" ref="O35:O36" si="9">+K35-M35</f>
        <v>27.589999999999918</v>
      </c>
      <c r="P35" s="23">
        <f>+Q34</f>
        <v>8.9199999999998454</v>
      </c>
      <c r="Q35" s="23">
        <f>+J34-M35</f>
        <v>28.079999999999927</v>
      </c>
      <c r="R35" s="36" t="s">
        <v>51</v>
      </c>
      <c r="S35" s="3"/>
      <c r="T35" s="2"/>
      <c r="U35" s="2"/>
      <c r="V35" s="2"/>
      <c r="W35" s="2"/>
      <c r="X35" s="2"/>
      <c r="Y35" s="2"/>
      <c r="Z35" s="2"/>
      <c r="AA35" s="2"/>
      <c r="AB35" s="2"/>
    </row>
    <row r="36" spans="2:28" ht="15.9" customHeight="1" x14ac:dyDescent="0.25">
      <c r="B36" s="9">
        <f>+B35</f>
        <v>187</v>
      </c>
      <c r="C36" s="10">
        <v>190</v>
      </c>
      <c r="D36" s="31">
        <f>12*6</f>
        <v>72</v>
      </c>
      <c r="E36" s="8" t="s">
        <v>48</v>
      </c>
      <c r="F36" s="53">
        <v>160</v>
      </c>
      <c r="G36" s="18">
        <f>25*0.01695</f>
        <v>0.42375000000000002</v>
      </c>
      <c r="H36" s="19">
        <f>1.974*G36/(POWER(1.532,2))</f>
        <v>0.356401340591319</v>
      </c>
      <c r="I36" s="20">
        <v>0.3</v>
      </c>
      <c r="J36" s="21">
        <f>+J35</f>
        <v>1795.52</v>
      </c>
      <c r="K36" s="23">
        <f t="shared" si="6"/>
        <v>1795.22</v>
      </c>
      <c r="L36" s="23">
        <f>+L35</f>
        <v>1786.88</v>
      </c>
      <c r="M36" s="23">
        <v>1772.68</v>
      </c>
      <c r="N36" s="23">
        <f t="shared" si="8"/>
        <v>8.6399999999998727</v>
      </c>
      <c r="O36" s="30">
        <f t="shared" si="9"/>
        <v>22.539999999999964</v>
      </c>
      <c r="P36" s="23">
        <f>+P35</f>
        <v>8.9199999999998454</v>
      </c>
      <c r="Q36" s="23">
        <f>+J34-M36</f>
        <v>23.119999999999891</v>
      </c>
      <c r="R36" s="36" t="s">
        <v>52</v>
      </c>
      <c r="S36" s="3"/>
      <c r="T36" s="2"/>
      <c r="U36" s="2"/>
      <c r="V36" s="2"/>
      <c r="W36" s="2"/>
      <c r="X36" s="2"/>
      <c r="Y36" s="2"/>
      <c r="Z36" s="2"/>
      <c r="AA36" s="2"/>
      <c r="AB36" s="2"/>
    </row>
    <row r="37" spans="2:28" ht="15.9" customHeight="1" x14ac:dyDescent="0.25">
      <c r="B37" s="9">
        <f>+C36</f>
        <v>190</v>
      </c>
      <c r="C37" s="10">
        <v>192</v>
      </c>
      <c r="D37" s="31">
        <f t="shared" ref="D37" si="10">12*6</f>
        <v>72</v>
      </c>
      <c r="E37" s="8" t="s">
        <v>25</v>
      </c>
      <c r="F37" s="53">
        <v>250</v>
      </c>
      <c r="G37" s="18">
        <f>10*0.01695</f>
        <v>0.16949999999999998</v>
      </c>
      <c r="H37" s="19">
        <f>1.974*G37/(POWER(0.926,2))</f>
        <v>0.3902068396083388</v>
      </c>
      <c r="I37" s="20">
        <v>0.3</v>
      </c>
      <c r="J37" s="21">
        <f>+K36</f>
        <v>1795.22</v>
      </c>
      <c r="K37" s="23">
        <f t="shared" ref="K37:K46" si="11">+J37-I37</f>
        <v>1794.92</v>
      </c>
      <c r="L37" s="23">
        <f>+M36</f>
        <v>1772.68</v>
      </c>
      <c r="M37" s="23">
        <v>1757.16</v>
      </c>
      <c r="N37" s="23">
        <f t="shared" ref="N37:N44" si="12">+J37-L37</f>
        <v>22.539999999999964</v>
      </c>
      <c r="O37" s="30">
        <f t="shared" ref="O37:O46" si="13">+K37-M37</f>
        <v>37.759999999999991</v>
      </c>
      <c r="P37" s="23">
        <f>+Q36</f>
        <v>23.119999999999891</v>
      </c>
      <c r="Q37" s="23">
        <f>+J34-M37</f>
        <v>38.639999999999873</v>
      </c>
      <c r="R37" s="36" t="s">
        <v>53</v>
      </c>
      <c r="S37" s="3"/>
      <c r="T37" s="2"/>
      <c r="U37" s="2"/>
      <c r="V37" s="2"/>
      <c r="W37" s="2"/>
      <c r="X37" s="2"/>
      <c r="Y37" s="2"/>
      <c r="Z37" s="2"/>
      <c r="AA37" s="2"/>
      <c r="AB37" s="2"/>
    </row>
    <row r="38" spans="2:28" ht="15.9" customHeight="1" x14ac:dyDescent="0.25">
      <c r="B38" s="9">
        <v>192</v>
      </c>
      <c r="C38" s="10">
        <v>195</v>
      </c>
      <c r="D38" s="31">
        <v>66</v>
      </c>
      <c r="E38" s="8" t="s">
        <v>54</v>
      </c>
      <c r="F38" s="53">
        <v>315</v>
      </c>
      <c r="G38" s="18">
        <f>3*0.01695</f>
        <v>5.0849999999999999E-2</v>
      </c>
      <c r="H38" s="19">
        <f>1.974*G38/(POWER(0.716,2))</f>
        <v>0.19579971754938982</v>
      </c>
      <c r="I38" s="20">
        <v>0.22</v>
      </c>
      <c r="J38" s="21">
        <f>+K37</f>
        <v>1794.92</v>
      </c>
      <c r="K38" s="23">
        <f t="shared" si="11"/>
        <v>1794.7</v>
      </c>
      <c r="L38" s="23">
        <f>+M37</f>
        <v>1757.16</v>
      </c>
      <c r="M38" s="23">
        <v>1755.01</v>
      </c>
      <c r="N38" s="23">
        <f t="shared" si="12"/>
        <v>37.759999999999991</v>
      </c>
      <c r="O38" s="30">
        <f t="shared" si="13"/>
        <v>39.690000000000055</v>
      </c>
      <c r="P38" s="23">
        <f>+Q37</f>
        <v>38.639999999999873</v>
      </c>
      <c r="Q38" s="23">
        <f>+J34-M38</f>
        <v>40.789999999999964</v>
      </c>
      <c r="R38" s="36" t="s">
        <v>55</v>
      </c>
      <c r="S38" s="3"/>
      <c r="T38" s="2"/>
      <c r="U38" s="2"/>
      <c r="V38" s="2"/>
      <c r="W38" s="2"/>
      <c r="X38" s="2"/>
      <c r="Y38" s="2"/>
      <c r="Z38" s="2"/>
      <c r="AA38" s="2"/>
      <c r="AB38" s="2"/>
    </row>
    <row r="39" spans="2:28" ht="15.9" customHeight="1" x14ac:dyDescent="0.25">
      <c r="B39" s="9">
        <f>+B38</f>
        <v>192</v>
      </c>
      <c r="C39" s="10">
        <v>201</v>
      </c>
      <c r="D39" s="31">
        <f>7*6</f>
        <v>42</v>
      </c>
      <c r="E39" s="8" t="s">
        <v>25</v>
      </c>
      <c r="F39" s="53">
        <v>250</v>
      </c>
      <c r="G39" s="18">
        <f>4*0.01695</f>
        <v>6.7799999999999999E-2</v>
      </c>
      <c r="H39" s="19">
        <f>1.974*G39/(POWER(0.926,2))</f>
        <v>0.15608273584333551</v>
      </c>
      <c r="I39" s="20">
        <v>7.0000000000000007E-2</v>
      </c>
      <c r="J39" s="21">
        <f>+J38</f>
        <v>1794.92</v>
      </c>
      <c r="K39" s="23">
        <f t="shared" si="11"/>
        <v>1794.8500000000001</v>
      </c>
      <c r="L39" s="23">
        <f>+L38</f>
        <v>1757.16</v>
      </c>
      <c r="M39" s="23">
        <v>1749.03</v>
      </c>
      <c r="N39" s="23">
        <f>+J39-L39</f>
        <v>37.759999999999991</v>
      </c>
      <c r="O39" s="30">
        <f>+K39-M39</f>
        <v>45.820000000000164</v>
      </c>
      <c r="P39" s="23">
        <f>+P38</f>
        <v>38.639999999999873</v>
      </c>
      <c r="Q39" s="23">
        <f>+J34-M39</f>
        <v>46.769999999999982</v>
      </c>
      <c r="R39" s="36" t="s">
        <v>56</v>
      </c>
      <c r="S39" s="3"/>
      <c r="T39" s="2"/>
      <c r="U39" s="2"/>
      <c r="V39" s="2"/>
      <c r="W39" s="2"/>
      <c r="X39" s="2"/>
      <c r="Y39" s="2"/>
      <c r="Z39" s="2"/>
      <c r="AA39" s="2"/>
      <c r="AB39" s="2"/>
    </row>
    <row r="40" spans="2:28" ht="15.9" customHeight="1" x14ac:dyDescent="0.25">
      <c r="B40" s="9">
        <v>201</v>
      </c>
      <c r="C40" s="10">
        <v>203</v>
      </c>
      <c r="D40" s="31">
        <v>36</v>
      </c>
      <c r="E40" s="8" t="s">
        <v>54</v>
      </c>
      <c r="F40" s="53">
        <v>315</v>
      </c>
      <c r="G40" s="18">
        <f>1*0.01695</f>
        <v>1.695E-2</v>
      </c>
      <c r="H40" s="19">
        <f>1.974*G40/(POWER(0.716,2))</f>
        <v>6.526657251646327E-2</v>
      </c>
      <c r="I40" s="20">
        <v>0.02</v>
      </c>
      <c r="J40" s="21">
        <f>+K39</f>
        <v>1794.8500000000001</v>
      </c>
      <c r="K40" s="23">
        <f t="shared" si="11"/>
        <v>1794.8300000000002</v>
      </c>
      <c r="L40" s="23">
        <f>+M39</f>
        <v>1749.03</v>
      </c>
      <c r="M40" s="23">
        <v>1743.08</v>
      </c>
      <c r="N40" s="23">
        <f t="shared" si="12"/>
        <v>45.820000000000164</v>
      </c>
      <c r="O40" s="30">
        <f t="shared" si="13"/>
        <v>51.750000000000227</v>
      </c>
      <c r="P40" s="23">
        <f>+Q39</f>
        <v>46.769999999999982</v>
      </c>
      <c r="Q40" s="23">
        <f>+J34-M40</f>
        <v>52.720000000000027</v>
      </c>
      <c r="R40" s="36" t="s">
        <v>39</v>
      </c>
      <c r="S40" s="3"/>
      <c r="T40" s="2"/>
      <c r="U40" s="2"/>
      <c r="V40" s="2"/>
      <c r="W40" s="2"/>
      <c r="X40" s="2"/>
      <c r="Y40" s="2"/>
      <c r="Z40" s="2"/>
      <c r="AA40" s="2"/>
      <c r="AB40" s="2"/>
    </row>
    <row r="41" spans="2:28" ht="15.9" customHeight="1" x14ac:dyDescent="0.25">
      <c r="B41" s="9">
        <f>+B40</f>
        <v>201</v>
      </c>
      <c r="C41" s="10">
        <v>205</v>
      </c>
      <c r="D41" s="31">
        <f>9*6</f>
        <v>54</v>
      </c>
      <c r="E41" s="8" t="s">
        <v>54</v>
      </c>
      <c r="F41" s="53">
        <v>315</v>
      </c>
      <c r="G41" s="18">
        <f>2*0.01695</f>
        <v>3.39E-2</v>
      </c>
      <c r="H41" s="19">
        <f>1.974*G41/(POWER(0.716,2))</f>
        <v>0.13053314503292654</v>
      </c>
      <c r="I41" s="20">
        <v>7.0000000000000007E-2</v>
      </c>
      <c r="J41" s="21">
        <f>+J40</f>
        <v>1794.8500000000001</v>
      </c>
      <c r="K41" s="23">
        <f t="shared" si="11"/>
        <v>1794.7800000000002</v>
      </c>
      <c r="L41" s="23">
        <f>+L40</f>
        <v>1749.03</v>
      </c>
      <c r="M41" s="23">
        <v>1743.11</v>
      </c>
      <c r="N41" s="23">
        <f t="shared" si="12"/>
        <v>45.820000000000164</v>
      </c>
      <c r="O41" s="30">
        <f t="shared" si="13"/>
        <v>51.6700000000003</v>
      </c>
      <c r="P41" s="23">
        <f>+P40</f>
        <v>46.769999999999982</v>
      </c>
      <c r="Q41" s="23">
        <f>+J34-M41</f>
        <v>52.690000000000055</v>
      </c>
      <c r="R41" s="36" t="s">
        <v>39</v>
      </c>
      <c r="S41" s="3"/>
      <c r="T41" s="2"/>
      <c r="U41" s="2"/>
      <c r="V41" s="2"/>
      <c r="W41" s="2"/>
      <c r="X41" s="2"/>
      <c r="Y41" s="2"/>
      <c r="Z41" s="2"/>
      <c r="AA41" s="2"/>
      <c r="AB41" s="2"/>
    </row>
    <row r="42" spans="2:28" ht="15.9" customHeight="1" x14ac:dyDescent="0.25">
      <c r="B42" s="9">
        <f>+B37</f>
        <v>190</v>
      </c>
      <c r="C42" s="10">
        <v>206</v>
      </c>
      <c r="D42" s="31">
        <v>48</v>
      </c>
      <c r="E42" s="8" t="s">
        <v>57</v>
      </c>
      <c r="F42" s="53">
        <v>160</v>
      </c>
      <c r="G42" s="18">
        <f>14*0.01695</f>
        <v>0.23730000000000001</v>
      </c>
      <c r="H42" s="19">
        <f>1.974*G42/(POWER(1.195,2))</f>
        <v>0.32802661017839324</v>
      </c>
      <c r="I42" s="20">
        <v>0.24</v>
      </c>
      <c r="J42" s="21">
        <f>+K36</f>
        <v>1795.22</v>
      </c>
      <c r="K42" s="23">
        <f t="shared" si="11"/>
        <v>1794.98</v>
      </c>
      <c r="L42" s="23">
        <f>+M36</f>
        <v>1772.68</v>
      </c>
      <c r="M42" s="23">
        <v>1763.65</v>
      </c>
      <c r="N42" s="23">
        <f t="shared" si="12"/>
        <v>22.539999999999964</v>
      </c>
      <c r="O42" s="30">
        <f t="shared" si="13"/>
        <v>31.329999999999927</v>
      </c>
      <c r="P42" s="23">
        <f>+P38</f>
        <v>38.639999999999873</v>
      </c>
      <c r="Q42" s="23">
        <f>+J34-M42</f>
        <v>32.149999999999864</v>
      </c>
      <c r="R42" s="36" t="s">
        <v>39</v>
      </c>
      <c r="S42" s="3"/>
      <c r="T42" s="2"/>
      <c r="U42" s="2"/>
      <c r="V42" s="2"/>
      <c r="W42" s="2"/>
      <c r="X42" s="2"/>
      <c r="Y42" s="2"/>
      <c r="Z42" s="2"/>
      <c r="AA42" s="2"/>
      <c r="AB42" s="2"/>
    </row>
    <row r="43" spans="2:28" ht="15.9" customHeight="1" x14ac:dyDescent="0.25">
      <c r="B43" s="9">
        <f>+C42</f>
        <v>206</v>
      </c>
      <c r="C43" s="10">
        <v>217</v>
      </c>
      <c r="D43" s="31">
        <v>48</v>
      </c>
      <c r="E43" s="8" t="s">
        <v>57</v>
      </c>
      <c r="F43" s="53">
        <v>160</v>
      </c>
      <c r="G43" s="18">
        <f>10*0.01695</f>
        <v>0.16949999999999998</v>
      </c>
      <c r="H43" s="19">
        <f>1.974*G43/(POWER(1.195,2))</f>
        <v>0.23430472155599513</v>
      </c>
      <c r="I43" s="20">
        <v>0.12</v>
      </c>
      <c r="J43" s="21">
        <f>+K42</f>
        <v>1794.98</v>
      </c>
      <c r="K43" s="23">
        <f t="shared" si="11"/>
        <v>1794.8600000000001</v>
      </c>
      <c r="L43" s="23">
        <f>+M42</f>
        <v>1763.65</v>
      </c>
      <c r="M43" s="23">
        <v>1755.54</v>
      </c>
      <c r="N43" s="23">
        <f t="shared" si="12"/>
        <v>31.329999999999927</v>
      </c>
      <c r="O43" s="30">
        <f t="shared" si="13"/>
        <v>39.320000000000164</v>
      </c>
      <c r="P43" s="23">
        <f>+Q42</f>
        <v>32.149999999999864</v>
      </c>
      <c r="Q43" s="23">
        <f t="shared" ref="Q43" si="14">+J43-M43</f>
        <v>39.440000000000055</v>
      </c>
      <c r="R43" s="36" t="s">
        <v>39</v>
      </c>
      <c r="S43" s="3"/>
      <c r="T43" s="2"/>
      <c r="U43" s="2"/>
      <c r="V43" s="2"/>
      <c r="W43" s="2"/>
      <c r="X43" s="2"/>
      <c r="Y43" s="2"/>
      <c r="Z43" s="2"/>
      <c r="AA43" s="2"/>
      <c r="AB43" s="2"/>
    </row>
    <row r="44" spans="2:28" ht="15.9" customHeight="1" x14ac:dyDescent="0.25">
      <c r="B44" s="9">
        <f>+C43</f>
        <v>217</v>
      </c>
      <c r="C44" s="10">
        <v>220</v>
      </c>
      <c r="D44" s="31">
        <f>14*6</f>
        <v>84</v>
      </c>
      <c r="E44" s="8" t="s">
        <v>25</v>
      </c>
      <c r="F44" s="53">
        <v>250</v>
      </c>
      <c r="G44" s="18">
        <f>4*0.01695</f>
        <v>6.7799999999999999E-2</v>
      </c>
      <c r="H44" s="19">
        <f>1.974*G44/(POWER(0.926,2))</f>
        <v>0.15608273584333551</v>
      </c>
      <c r="I44" s="20">
        <v>0.15</v>
      </c>
      <c r="J44" s="21">
        <f>+K43</f>
        <v>1794.8600000000001</v>
      </c>
      <c r="K44" s="23">
        <f t="shared" si="11"/>
        <v>1794.71</v>
      </c>
      <c r="L44" s="23">
        <f>+M43</f>
        <v>1755.54</v>
      </c>
      <c r="M44" s="23">
        <v>1739.41</v>
      </c>
      <c r="N44" s="23">
        <f t="shared" si="12"/>
        <v>39.320000000000164</v>
      </c>
      <c r="O44" s="30">
        <f t="shared" si="13"/>
        <v>55.299999999999955</v>
      </c>
      <c r="P44" s="23">
        <f>+Q43</f>
        <v>39.440000000000055</v>
      </c>
      <c r="Q44" s="23">
        <f>+J34-M44</f>
        <v>56.389999999999873</v>
      </c>
      <c r="R44" s="36" t="s">
        <v>58</v>
      </c>
      <c r="S44" s="3"/>
      <c r="T44" s="2"/>
      <c r="U44" s="2"/>
      <c r="V44" s="2"/>
      <c r="W44" s="2"/>
      <c r="X44" s="2"/>
      <c r="Y44" s="2"/>
      <c r="Z44" s="2"/>
      <c r="AA44" s="2"/>
      <c r="AB44" s="2"/>
    </row>
    <row r="45" spans="2:28" ht="15.9" customHeight="1" x14ac:dyDescent="0.25">
      <c r="B45" s="9">
        <v>220</v>
      </c>
      <c r="C45" s="10">
        <v>221</v>
      </c>
      <c r="D45" s="31">
        <v>30</v>
      </c>
      <c r="E45" s="8" t="s">
        <v>54</v>
      </c>
      <c r="F45" s="53">
        <v>315</v>
      </c>
      <c r="G45" s="18">
        <f>1*0.01695</f>
        <v>1.695E-2</v>
      </c>
      <c r="H45" s="19">
        <f>1.974*G45/(POWER(0.716,2))</f>
        <v>6.526657251646327E-2</v>
      </c>
      <c r="I45" s="20">
        <v>0.02</v>
      </c>
      <c r="J45" s="21">
        <f>+M44</f>
        <v>1739.41</v>
      </c>
      <c r="K45" s="23">
        <f t="shared" si="11"/>
        <v>1739.39</v>
      </c>
      <c r="L45" s="23">
        <f>+M44</f>
        <v>1739.41</v>
      </c>
      <c r="M45" s="23">
        <v>1731.63</v>
      </c>
      <c r="N45" s="23">
        <v>0</v>
      </c>
      <c r="O45" s="30">
        <f t="shared" si="13"/>
        <v>7.7599999999999909</v>
      </c>
      <c r="P45" s="23">
        <v>0</v>
      </c>
      <c r="Q45" s="23">
        <f>+J45-M45</f>
        <v>7.7799999999999727</v>
      </c>
      <c r="R45" s="36" t="s">
        <v>59</v>
      </c>
      <c r="S45" s="3"/>
      <c r="T45" s="2"/>
      <c r="U45" s="2"/>
      <c r="V45" s="2"/>
      <c r="W45" s="2"/>
      <c r="X45" s="2"/>
      <c r="Y45" s="2"/>
      <c r="Z45" s="2"/>
      <c r="AA45" s="2"/>
      <c r="AB45" s="2"/>
    </row>
    <row r="46" spans="2:28" ht="15.9" customHeight="1" x14ac:dyDescent="0.25">
      <c r="B46" s="9">
        <v>206</v>
      </c>
      <c r="C46" s="10">
        <v>213</v>
      </c>
      <c r="D46" s="31">
        <f>51*6</f>
        <v>306</v>
      </c>
      <c r="E46" s="8" t="s">
        <v>25</v>
      </c>
      <c r="F46" s="53">
        <v>250</v>
      </c>
      <c r="G46" s="18">
        <f>5*0.01695</f>
        <v>8.4749999999999992E-2</v>
      </c>
      <c r="H46" s="19">
        <f>1.974*G46/(POWER(0.926,2))</f>
        <v>0.1951034198041694</v>
      </c>
      <c r="I46" s="20">
        <v>0.68</v>
      </c>
      <c r="J46" s="21">
        <f>+J43</f>
        <v>1794.98</v>
      </c>
      <c r="K46" s="23">
        <f t="shared" si="11"/>
        <v>1794.3</v>
      </c>
      <c r="L46" s="23">
        <f>+L43</f>
        <v>1763.65</v>
      </c>
      <c r="M46" s="23">
        <v>1747.32</v>
      </c>
      <c r="N46" s="23">
        <f>+N43</f>
        <v>31.329999999999927</v>
      </c>
      <c r="O46" s="30">
        <f t="shared" si="13"/>
        <v>46.980000000000018</v>
      </c>
      <c r="P46" s="23">
        <f>+P43</f>
        <v>32.149999999999864</v>
      </c>
      <c r="Q46" s="23">
        <f>+J34-M46</f>
        <v>48.480000000000018</v>
      </c>
      <c r="R46" s="36" t="s">
        <v>60</v>
      </c>
      <c r="S46" s="3"/>
      <c r="T46" s="2"/>
      <c r="U46" s="2"/>
      <c r="V46" s="2"/>
      <c r="W46" s="2"/>
      <c r="X46" s="2"/>
      <c r="Y46" s="2"/>
      <c r="Z46" s="2"/>
      <c r="AA46" s="2"/>
      <c r="AB46" s="2"/>
    </row>
    <row r="47" spans="2:28" ht="21.6" customHeight="1" x14ac:dyDescent="0.25">
      <c r="B47" s="37"/>
      <c r="R47" s="38"/>
    </row>
    <row r="48" spans="2:28" ht="15.9" customHeight="1" x14ac:dyDescent="0.25">
      <c r="B48" s="96" t="s">
        <v>105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8"/>
      <c r="S48" s="3"/>
      <c r="T48" s="2"/>
      <c r="U48" s="2"/>
      <c r="V48" s="2"/>
      <c r="W48" s="2"/>
      <c r="X48" s="2"/>
      <c r="Y48" s="2"/>
      <c r="Z48" s="2"/>
      <c r="AA48" s="2"/>
      <c r="AB48" s="2"/>
    </row>
    <row r="49" spans="2:28" ht="15.9" customHeight="1" x14ac:dyDescent="0.25">
      <c r="B49" s="96" t="s">
        <v>78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8"/>
      <c r="S49" s="3"/>
      <c r="T49" s="2"/>
      <c r="U49" s="2"/>
      <c r="V49" s="2"/>
      <c r="W49" s="2"/>
      <c r="X49" s="2"/>
      <c r="Y49" s="2"/>
      <c r="Z49" s="2"/>
      <c r="AA49" s="2"/>
      <c r="AB49" s="2"/>
    </row>
    <row r="50" spans="2:28" ht="15.9" customHeight="1" x14ac:dyDescent="0.25">
      <c r="B50" s="9">
        <v>224</v>
      </c>
      <c r="C50" s="10">
        <v>233</v>
      </c>
      <c r="D50" s="8">
        <f>13*6</f>
        <v>78</v>
      </c>
      <c r="E50" s="8" t="s">
        <v>57</v>
      </c>
      <c r="F50" s="53">
        <v>160</v>
      </c>
      <c r="G50" s="18">
        <f>18*0.015</f>
        <v>0.27</v>
      </c>
      <c r="H50" s="19">
        <f>1.974*G50/(POWER(1.195,2))</f>
        <v>0.37322876000070027</v>
      </c>
      <c r="I50" s="20">
        <v>0.48</v>
      </c>
      <c r="J50" s="21">
        <v>1738.9</v>
      </c>
      <c r="K50" s="23">
        <f t="shared" ref="K50:K56" si="15">+J50-I50</f>
        <v>1738.42</v>
      </c>
      <c r="L50" s="23">
        <f t="shared" ref="L50" si="16">+J50</f>
        <v>1738.9</v>
      </c>
      <c r="M50" s="23">
        <v>1737.56</v>
      </c>
      <c r="N50" s="23">
        <f t="shared" ref="N50:N54" si="17">+J50-L50</f>
        <v>0</v>
      </c>
      <c r="O50" s="30">
        <f>+K50-M50</f>
        <v>0.86000000000012733</v>
      </c>
      <c r="P50" s="23">
        <v>0</v>
      </c>
      <c r="Q50" s="23">
        <f>+J50-M50</f>
        <v>1.3400000000001455</v>
      </c>
      <c r="R50" s="36" t="s">
        <v>79</v>
      </c>
      <c r="S50" s="3"/>
      <c r="T50" s="2"/>
      <c r="U50" s="2"/>
      <c r="V50" s="2"/>
      <c r="W50" s="2"/>
      <c r="X50" s="2"/>
      <c r="Y50" s="2"/>
      <c r="Z50" s="2"/>
      <c r="AA50" s="2"/>
      <c r="AB50" s="2"/>
    </row>
    <row r="51" spans="2:28" ht="15.9" customHeight="1" x14ac:dyDescent="0.25">
      <c r="B51" s="9">
        <f>+C50</f>
        <v>233</v>
      </c>
      <c r="C51" s="10">
        <v>236</v>
      </c>
      <c r="D51" s="8">
        <f>13*6</f>
        <v>78</v>
      </c>
      <c r="E51" s="8" t="s">
        <v>54</v>
      </c>
      <c r="F51" s="53">
        <v>315</v>
      </c>
      <c r="G51" s="18">
        <f>3*0.015</f>
        <v>4.4999999999999998E-2</v>
      </c>
      <c r="H51" s="19">
        <f>1.974*G51/(POWER(0.716,2))</f>
        <v>0.17327408632689364</v>
      </c>
      <c r="I51" s="20">
        <v>0.26</v>
      </c>
      <c r="J51" s="21">
        <f>+K50</f>
        <v>1738.42</v>
      </c>
      <c r="K51" s="23">
        <f t="shared" si="15"/>
        <v>1738.16</v>
      </c>
      <c r="L51" s="23">
        <f>+M50</f>
        <v>1737.56</v>
      </c>
      <c r="M51" s="23">
        <v>1713.56</v>
      </c>
      <c r="N51" s="23">
        <f t="shared" si="17"/>
        <v>0.86000000000012733</v>
      </c>
      <c r="O51" s="30">
        <f>+K51-M51</f>
        <v>24.600000000000136</v>
      </c>
      <c r="P51" s="23">
        <f>+Q50</f>
        <v>1.3400000000001455</v>
      </c>
      <c r="Q51" s="23">
        <f>+J50-M51</f>
        <v>25.340000000000146</v>
      </c>
      <c r="R51" s="36" t="s">
        <v>80</v>
      </c>
      <c r="S51" s="3"/>
      <c r="T51" s="2"/>
      <c r="U51" s="2"/>
      <c r="V51" s="2"/>
      <c r="W51" s="2"/>
      <c r="X51" s="2"/>
      <c r="Y51" s="2"/>
      <c r="Z51" s="2"/>
      <c r="AA51" s="2"/>
      <c r="AB51" s="2"/>
    </row>
    <row r="52" spans="2:28" ht="15.9" customHeight="1" x14ac:dyDescent="0.25">
      <c r="B52" s="9">
        <f>+B51</f>
        <v>233</v>
      </c>
      <c r="C52" s="10">
        <v>240</v>
      </c>
      <c r="D52" s="31">
        <f>12*6</f>
        <v>72</v>
      </c>
      <c r="E52" s="8" t="s">
        <v>57</v>
      </c>
      <c r="F52" s="53">
        <v>160</v>
      </c>
      <c r="G52" s="18">
        <f>14*0.015</f>
        <v>0.21</v>
      </c>
      <c r="H52" s="19">
        <f>1.974*G52/(POWER(1.195,2))</f>
        <v>0.29028903555610014</v>
      </c>
      <c r="I52" s="20">
        <v>0.28000000000000003</v>
      </c>
      <c r="J52" s="21">
        <f>+J51</f>
        <v>1738.42</v>
      </c>
      <c r="K52" s="23">
        <f t="shared" si="15"/>
        <v>1738.14</v>
      </c>
      <c r="L52" s="23">
        <f>+L51</f>
        <v>1737.56</v>
      </c>
      <c r="M52" s="23">
        <v>1733.43</v>
      </c>
      <c r="N52" s="23">
        <f t="shared" si="17"/>
        <v>0.86000000000012733</v>
      </c>
      <c r="O52" s="30">
        <f t="shared" ref="O52:O54" si="18">+K52-M52</f>
        <v>4.7100000000000364</v>
      </c>
      <c r="P52" s="23">
        <f>+P51</f>
        <v>1.3400000000001455</v>
      </c>
      <c r="Q52" s="23">
        <f>+J50-M52</f>
        <v>5.4700000000000273</v>
      </c>
      <c r="R52" s="36" t="s">
        <v>81</v>
      </c>
      <c r="S52" s="3"/>
      <c r="T52" s="2"/>
      <c r="U52" s="2"/>
      <c r="V52" s="2"/>
      <c r="W52" s="2"/>
      <c r="X52" s="2"/>
      <c r="Y52" s="2"/>
      <c r="Z52" s="2"/>
      <c r="AA52" s="2"/>
      <c r="AB52" s="2"/>
    </row>
    <row r="53" spans="2:28" ht="15.9" customHeight="1" x14ac:dyDescent="0.25">
      <c r="B53" s="9">
        <f>+C52</f>
        <v>240</v>
      </c>
      <c r="C53" s="10">
        <v>242</v>
      </c>
      <c r="D53" s="31">
        <v>36</v>
      </c>
      <c r="E53" s="8" t="s">
        <v>25</v>
      </c>
      <c r="F53" s="53">
        <v>250</v>
      </c>
      <c r="G53" s="18">
        <f>8*0.015</f>
        <v>0.12</v>
      </c>
      <c r="H53" s="19">
        <f>1.974*G53/(POWER(0.926,2))</f>
        <v>0.27625262981121329</v>
      </c>
      <c r="I53" s="20">
        <v>0.17</v>
      </c>
      <c r="J53" s="21">
        <f>+K52</f>
        <v>1738.14</v>
      </c>
      <c r="K53" s="23">
        <f t="shared" si="15"/>
        <v>1737.97</v>
      </c>
      <c r="L53" s="23">
        <f>+M52</f>
        <v>1733.43</v>
      </c>
      <c r="M53" s="23">
        <v>1721</v>
      </c>
      <c r="N53" s="23">
        <f t="shared" si="17"/>
        <v>4.7100000000000364</v>
      </c>
      <c r="O53" s="30">
        <f t="shared" si="18"/>
        <v>16.970000000000027</v>
      </c>
      <c r="P53" s="23">
        <f>+Q52</f>
        <v>5.4700000000000273</v>
      </c>
      <c r="Q53" s="23">
        <f>+J50-M53</f>
        <v>17.900000000000091</v>
      </c>
      <c r="R53" s="36" t="s">
        <v>82</v>
      </c>
      <c r="S53" s="3"/>
      <c r="T53" s="2"/>
      <c r="U53" s="2"/>
      <c r="V53" s="2"/>
      <c r="W53" s="2"/>
      <c r="X53" s="2"/>
      <c r="Y53" s="2"/>
      <c r="Z53" s="2"/>
      <c r="AA53" s="2"/>
      <c r="AB53" s="2"/>
    </row>
    <row r="54" spans="2:28" ht="15.9" customHeight="1" x14ac:dyDescent="0.25">
      <c r="B54" s="9">
        <v>242</v>
      </c>
      <c r="C54" s="10">
        <v>244</v>
      </c>
      <c r="D54" s="31">
        <v>42</v>
      </c>
      <c r="E54" s="8" t="s">
        <v>54</v>
      </c>
      <c r="F54" s="53">
        <v>315</v>
      </c>
      <c r="G54" s="18">
        <f>3*0.015</f>
        <v>4.4999999999999998E-2</v>
      </c>
      <c r="H54" s="19">
        <f>1.974*G54/(POWER(0.716,2))</f>
        <v>0.17327408632689364</v>
      </c>
      <c r="I54" s="20">
        <v>0.14000000000000001</v>
      </c>
      <c r="J54" s="21">
        <f>+K53</f>
        <v>1737.97</v>
      </c>
      <c r="K54" s="23">
        <f t="shared" si="15"/>
        <v>1737.83</v>
      </c>
      <c r="L54" s="23">
        <f>+M53</f>
        <v>1721</v>
      </c>
      <c r="M54" s="23">
        <v>1707.01</v>
      </c>
      <c r="N54" s="23">
        <f t="shared" si="17"/>
        <v>16.970000000000027</v>
      </c>
      <c r="O54" s="30">
        <f t="shared" si="18"/>
        <v>30.819999999999936</v>
      </c>
      <c r="P54" s="23">
        <f>+Q53</f>
        <v>17.900000000000091</v>
      </c>
      <c r="Q54" s="23">
        <f>+J50-M54</f>
        <v>31.8900000000001</v>
      </c>
      <c r="R54" s="36" t="s">
        <v>83</v>
      </c>
      <c r="S54" s="3"/>
      <c r="T54" s="2"/>
      <c r="U54" s="2"/>
      <c r="V54" s="2"/>
      <c r="W54" s="2"/>
      <c r="X54" s="2"/>
      <c r="Y54" s="2"/>
      <c r="Z54" s="2"/>
      <c r="AA54" s="2"/>
      <c r="AB54" s="2"/>
    </row>
    <row r="55" spans="2:28" ht="15.9" customHeight="1" x14ac:dyDescent="0.25">
      <c r="B55" s="9">
        <v>242</v>
      </c>
      <c r="C55" s="10">
        <v>248</v>
      </c>
      <c r="D55" s="31">
        <f>16*6</f>
        <v>96</v>
      </c>
      <c r="E55" s="8" t="s">
        <v>25</v>
      </c>
      <c r="F55" s="53">
        <v>250</v>
      </c>
      <c r="G55" s="18">
        <f>4*0.015</f>
        <v>0.06</v>
      </c>
      <c r="H55" s="19">
        <f>1.974*G55/(POWER(0.926,2))</f>
        <v>0.13812631490560665</v>
      </c>
      <c r="I55" s="20">
        <v>0.13</v>
      </c>
      <c r="J55" s="21">
        <f>+J54</f>
        <v>1737.97</v>
      </c>
      <c r="K55" s="23">
        <f t="shared" ref="K55" si="19">+J55-I55</f>
        <v>1737.84</v>
      </c>
      <c r="L55" s="23">
        <f>+L54</f>
        <v>1721</v>
      </c>
      <c r="M55" s="23">
        <v>1695.7</v>
      </c>
      <c r="N55" s="23">
        <f t="shared" ref="N55" si="20">+J55-L55</f>
        <v>16.970000000000027</v>
      </c>
      <c r="O55" s="30">
        <f t="shared" ref="O55" si="21">+K55-M55</f>
        <v>42.139999999999873</v>
      </c>
      <c r="P55" s="23">
        <f>+Q54</f>
        <v>31.8900000000001</v>
      </c>
      <c r="Q55" s="23">
        <f>+J50-M55</f>
        <v>43.200000000000045</v>
      </c>
      <c r="R55" s="36" t="s">
        <v>55</v>
      </c>
      <c r="S55" s="3"/>
      <c r="T55" s="2"/>
      <c r="U55" s="2"/>
      <c r="V55" s="2"/>
      <c r="W55" s="2"/>
      <c r="X55" s="2"/>
      <c r="Y55" s="2"/>
      <c r="Z55" s="2"/>
      <c r="AA55" s="2"/>
      <c r="AB55" s="2"/>
    </row>
    <row r="56" spans="2:28" ht="15.9" customHeight="1" x14ac:dyDescent="0.25">
      <c r="B56" s="9">
        <v>240</v>
      </c>
      <c r="C56" s="10">
        <v>252</v>
      </c>
      <c r="D56" s="31">
        <f>16*6</f>
        <v>96</v>
      </c>
      <c r="E56" s="8" t="s">
        <v>25</v>
      </c>
      <c r="F56" s="53">
        <v>250</v>
      </c>
      <c r="G56" s="18">
        <f>4*0.015</f>
        <v>0.06</v>
      </c>
      <c r="H56" s="19">
        <f>1.974*G56/(POWER(0.926,2))</f>
        <v>0.13812631490560665</v>
      </c>
      <c r="I56" s="20">
        <v>0.13</v>
      </c>
      <c r="J56" s="21">
        <f>+J53</f>
        <v>1738.14</v>
      </c>
      <c r="K56" s="23">
        <f t="shared" si="15"/>
        <v>1738.01</v>
      </c>
      <c r="L56" s="23">
        <f>+L53</f>
        <v>1733.43</v>
      </c>
      <c r="M56" s="23">
        <v>1721.87</v>
      </c>
      <c r="N56" s="23">
        <f>+J56-L56</f>
        <v>4.7100000000000364</v>
      </c>
      <c r="O56" s="30">
        <f>+K56-M56</f>
        <v>16.1400000000001</v>
      </c>
      <c r="P56" s="23">
        <f>+P54</f>
        <v>17.900000000000091</v>
      </c>
      <c r="Q56" s="23">
        <f>+J50-M56</f>
        <v>17.0300000000002</v>
      </c>
      <c r="R56" s="36" t="s">
        <v>86</v>
      </c>
      <c r="S56" s="3"/>
      <c r="T56" s="2"/>
      <c r="U56" s="2"/>
      <c r="V56" s="2"/>
      <c r="W56" s="2"/>
      <c r="X56" s="2"/>
      <c r="Y56" s="2"/>
      <c r="Z56" s="2"/>
      <c r="AA56" s="2"/>
      <c r="AB56" s="2"/>
    </row>
    <row r="57" spans="2:28" ht="15.9" customHeight="1" x14ac:dyDescent="0.25">
      <c r="B57" s="9">
        <v>252</v>
      </c>
      <c r="C57" s="10">
        <v>252.2</v>
      </c>
      <c r="D57" s="31">
        <v>30</v>
      </c>
      <c r="E57" s="8" t="s">
        <v>54</v>
      </c>
      <c r="F57" s="53">
        <v>315</v>
      </c>
      <c r="G57" s="18">
        <f>2*0.015</f>
        <v>0.03</v>
      </c>
      <c r="H57" s="19">
        <f t="shared" ref="H57:H61" si="22">1.974*G57/(POWER(0.716,2))</f>
        <v>0.11551605755126243</v>
      </c>
      <c r="I57" s="20">
        <v>0.04</v>
      </c>
      <c r="J57" s="21">
        <f>+K56</f>
        <v>1738.01</v>
      </c>
      <c r="K57" s="23">
        <f t="shared" ref="K57:K58" si="23">+J57-I57</f>
        <v>1737.97</v>
      </c>
      <c r="L57" s="23">
        <f>+M56</f>
        <v>1721.87</v>
      </c>
      <c r="M57" s="23">
        <v>1711.63</v>
      </c>
      <c r="N57" s="23">
        <f t="shared" ref="N57:N58" si="24">+J57-L57</f>
        <v>16.1400000000001</v>
      </c>
      <c r="O57" s="30">
        <f t="shared" ref="O57:O58" si="25">+K57-M57</f>
        <v>26.339999999999918</v>
      </c>
      <c r="P57" s="23">
        <f t="shared" ref="P57:P58" si="26">+P56</f>
        <v>17.900000000000091</v>
      </c>
      <c r="Q57" s="23">
        <f>+J50-M57</f>
        <v>27.269999999999982</v>
      </c>
      <c r="R57" s="36" t="s">
        <v>85</v>
      </c>
      <c r="S57" s="3"/>
      <c r="T57" s="2"/>
      <c r="U57" s="2"/>
      <c r="V57" s="2"/>
      <c r="W57" s="2"/>
      <c r="X57" s="2"/>
      <c r="Y57" s="2"/>
      <c r="Z57" s="2"/>
      <c r="AA57" s="2"/>
      <c r="AB57" s="2"/>
    </row>
    <row r="58" spans="2:28" ht="15.9" customHeight="1" x14ac:dyDescent="0.25">
      <c r="B58" s="9">
        <v>252</v>
      </c>
      <c r="C58" s="10">
        <v>253</v>
      </c>
      <c r="D58" s="31">
        <v>30</v>
      </c>
      <c r="E58" s="8" t="s">
        <v>54</v>
      </c>
      <c r="F58" s="53">
        <v>315</v>
      </c>
      <c r="G58" s="18">
        <f>1*0.015</f>
        <v>1.4999999999999999E-2</v>
      </c>
      <c r="H58" s="19">
        <f t="shared" si="22"/>
        <v>5.7758028775631215E-2</v>
      </c>
      <c r="I58" s="20">
        <v>0.02</v>
      </c>
      <c r="J58" s="21">
        <f t="shared" ref="J58" si="27">+J57</f>
        <v>1738.01</v>
      </c>
      <c r="K58" s="23">
        <f t="shared" si="23"/>
        <v>1737.99</v>
      </c>
      <c r="L58" s="23">
        <f t="shared" ref="L58" si="28">+L57</f>
        <v>1721.87</v>
      </c>
      <c r="M58" s="23">
        <v>1723.79</v>
      </c>
      <c r="N58" s="23">
        <f t="shared" si="24"/>
        <v>16.1400000000001</v>
      </c>
      <c r="O58" s="30">
        <f t="shared" si="25"/>
        <v>14.200000000000045</v>
      </c>
      <c r="P58" s="23">
        <f t="shared" si="26"/>
        <v>17.900000000000091</v>
      </c>
      <c r="Q58" s="23">
        <f>+J50-M58</f>
        <v>15.110000000000127</v>
      </c>
      <c r="R58" s="36" t="s">
        <v>84</v>
      </c>
      <c r="S58" s="3"/>
      <c r="T58" s="2"/>
      <c r="U58" s="2"/>
      <c r="V58" s="2"/>
      <c r="W58" s="2"/>
      <c r="X58" s="2"/>
      <c r="Y58" s="2"/>
      <c r="Z58" s="2"/>
      <c r="AA58" s="2"/>
      <c r="AB58" s="2"/>
    </row>
    <row r="59" spans="2:28" ht="15.9" customHeight="1" x14ac:dyDescent="0.25">
      <c r="B59" s="96" t="s">
        <v>87</v>
      </c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8"/>
      <c r="S59" s="3"/>
      <c r="T59" s="2"/>
      <c r="U59" s="2"/>
      <c r="V59" s="2"/>
      <c r="W59" s="2"/>
      <c r="X59" s="2"/>
      <c r="Y59" s="2"/>
      <c r="Z59" s="2"/>
      <c r="AA59" s="2"/>
      <c r="AB59" s="2"/>
    </row>
    <row r="60" spans="2:28" ht="15.9" customHeight="1" x14ac:dyDescent="0.25">
      <c r="B60" s="9">
        <v>224</v>
      </c>
      <c r="C60" s="10">
        <v>226</v>
      </c>
      <c r="D60" s="31">
        <v>30</v>
      </c>
      <c r="E60" s="8" t="s">
        <v>25</v>
      </c>
      <c r="F60" s="53">
        <v>250</v>
      </c>
      <c r="G60" s="18">
        <f>4*0.015</f>
        <v>0.06</v>
      </c>
      <c r="H60" s="19">
        <f>1.974*G60/(POWER(0.926,2))</f>
        <v>0.13812631490560665</v>
      </c>
      <c r="I60" s="20">
        <v>0.04</v>
      </c>
      <c r="J60" s="21">
        <f>+J50</f>
        <v>1738.9</v>
      </c>
      <c r="K60" s="23">
        <f t="shared" ref="K60:K61" si="29">+J60-I60</f>
        <v>1738.8600000000001</v>
      </c>
      <c r="L60" s="23">
        <f>+L50</f>
        <v>1738.9</v>
      </c>
      <c r="M60" s="23">
        <v>1733.73</v>
      </c>
      <c r="N60" s="23">
        <f t="shared" ref="N60:N61" si="30">+J60-L60</f>
        <v>0</v>
      </c>
      <c r="O60" s="30">
        <f t="shared" ref="O60" si="31">+K60-M60</f>
        <v>5.1300000000001091</v>
      </c>
      <c r="P60" s="23">
        <f t="shared" ref="P60" si="32">+P59</f>
        <v>0</v>
      </c>
      <c r="Q60" s="23">
        <f>+J60-M60</f>
        <v>5.1700000000000728</v>
      </c>
      <c r="R60" s="36" t="s">
        <v>88</v>
      </c>
      <c r="S60" s="3"/>
      <c r="T60" s="2"/>
      <c r="U60" s="2"/>
      <c r="V60" s="2"/>
      <c r="W60" s="2"/>
      <c r="X60" s="2"/>
      <c r="Y60" s="2"/>
      <c r="Z60" s="2"/>
      <c r="AA60" s="2"/>
      <c r="AB60" s="2"/>
    </row>
    <row r="61" spans="2:28" x14ac:dyDescent="0.25">
      <c r="B61" s="9">
        <v>226</v>
      </c>
      <c r="C61" s="10">
        <v>230</v>
      </c>
      <c r="D61" s="32">
        <f>23*6</f>
        <v>138</v>
      </c>
      <c r="E61" s="8" t="s">
        <v>54</v>
      </c>
      <c r="F61" s="53">
        <v>315</v>
      </c>
      <c r="G61" s="18">
        <f>2*0.015</f>
        <v>0.03</v>
      </c>
      <c r="H61" s="19">
        <f t="shared" si="22"/>
        <v>0.11551605755126243</v>
      </c>
      <c r="I61" s="20">
        <v>0.18</v>
      </c>
      <c r="J61" s="21">
        <f>+K60</f>
        <v>1738.8600000000001</v>
      </c>
      <c r="K61" s="23">
        <f t="shared" si="29"/>
        <v>1738.68</v>
      </c>
      <c r="L61" s="23">
        <f>+M60</f>
        <v>1733.73</v>
      </c>
      <c r="M61" s="23">
        <v>1721.69</v>
      </c>
      <c r="N61" s="23">
        <f t="shared" si="30"/>
        <v>5.1300000000001091</v>
      </c>
      <c r="O61" s="30">
        <f>+K61-M61</f>
        <v>16.990000000000009</v>
      </c>
      <c r="P61" s="23">
        <f>+Q60</f>
        <v>5.1700000000000728</v>
      </c>
      <c r="Q61" s="23">
        <f>+J60-M61</f>
        <v>17.210000000000036</v>
      </c>
      <c r="R61" s="36" t="s">
        <v>89</v>
      </c>
    </row>
    <row r="62" spans="2:28" ht="19.8" customHeight="1" x14ac:dyDescent="0.25">
      <c r="B62" s="37"/>
      <c r="R62" s="38"/>
    </row>
    <row r="63" spans="2:28" ht="15.9" customHeight="1" x14ac:dyDescent="0.25">
      <c r="B63" s="96" t="s">
        <v>106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8"/>
      <c r="S63" s="3"/>
      <c r="T63" s="2"/>
      <c r="U63" s="2"/>
      <c r="V63" s="2"/>
      <c r="W63" s="2"/>
      <c r="X63" s="2"/>
      <c r="Y63" s="2"/>
      <c r="Z63" s="2"/>
      <c r="AA63" s="2"/>
      <c r="AB63" s="2"/>
    </row>
    <row r="64" spans="2:28" ht="15.9" customHeight="1" x14ac:dyDescent="0.25">
      <c r="B64" s="35">
        <v>224</v>
      </c>
      <c r="C64" s="8">
        <v>258</v>
      </c>
      <c r="D64" s="8">
        <f>60*6</f>
        <v>360</v>
      </c>
      <c r="E64" s="8" t="s">
        <v>90</v>
      </c>
      <c r="F64" s="53">
        <v>160</v>
      </c>
      <c r="G64" s="18">
        <v>0.26</v>
      </c>
      <c r="H64" s="19">
        <f>1.974*G64/(POWER(1.195,2))</f>
        <v>0.35940547259326694</v>
      </c>
      <c r="I64" s="20">
        <v>2.06</v>
      </c>
      <c r="J64" s="21">
        <f>+J60</f>
        <v>1738.9</v>
      </c>
      <c r="K64" s="23">
        <f>+J64-I64</f>
        <v>1736.8400000000001</v>
      </c>
      <c r="L64" s="23">
        <f>+J64</f>
        <v>1738.9</v>
      </c>
      <c r="M64" s="23">
        <v>1718.78</v>
      </c>
      <c r="N64" s="23">
        <f>+J64-L64</f>
        <v>0</v>
      </c>
      <c r="O64" s="30">
        <f>+K64-M64</f>
        <v>18.060000000000173</v>
      </c>
      <c r="P64" s="23">
        <v>0</v>
      </c>
      <c r="Q64" s="23">
        <f>+J64-M64</f>
        <v>20.120000000000118</v>
      </c>
      <c r="R64" s="36" t="s">
        <v>99</v>
      </c>
    </row>
    <row r="65" spans="2:28" ht="15.9" customHeight="1" x14ac:dyDescent="0.25">
      <c r="B65" s="96" t="s">
        <v>91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8"/>
      <c r="S65" s="3"/>
      <c r="T65" s="2"/>
      <c r="U65" s="2"/>
      <c r="V65" s="2"/>
      <c r="W65" s="2"/>
      <c r="X65" s="2"/>
      <c r="Y65" s="2"/>
      <c r="Z65" s="2"/>
      <c r="AA65" s="2"/>
      <c r="AB65" s="2"/>
    </row>
    <row r="66" spans="2:28" ht="15.9" customHeight="1" x14ac:dyDescent="0.25">
      <c r="B66" s="96" t="s">
        <v>92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8"/>
      <c r="S66" s="3"/>
      <c r="T66" s="2"/>
      <c r="U66" s="2"/>
      <c r="V66" s="2"/>
      <c r="W66" s="2"/>
      <c r="X66" s="2"/>
      <c r="Y66" s="2"/>
      <c r="Z66" s="2"/>
      <c r="AA66" s="2"/>
      <c r="AB66" s="2"/>
    </row>
    <row r="67" spans="2:28" ht="15.9" customHeight="1" x14ac:dyDescent="0.25">
      <c r="B67" s="9">
        <f>+C64</f>
        <v>258</v>
      </c>
      <c r="C67" s="10">
        <v>303</v>
      </c>
      <c r="D67" s="8">
        <v>192</v>
      </c>
      <c r="E67" s="8" t="s">
        <v>48</v>
      </c>
      <c r="F67" s="53">
        <v>160</v>
      </c>
      <c r="G67" s="18">
        <f>29*0.014595</f>
        <v>0.42325499999999999</v>
      </c>
      <c r="H67" s="19">
        <f>1.974*G67/(POWER(1.532,2))</f>
        <v>0.35598501336160171</v>
      </c>
      <c r="I67" s="20">
        <v>0.79</v>
      </c>
      <c r="J67" s="21">
        <v>1718.78</v>
      </c>
      <c r="K67" s="23">
        <f t="shared" ref="K67:K74" si="33">+J67-I67</f>
        <v>1717.99</v>
      </c>
      <c r="L67" s="23">
        <f t="shared" ref="L67" si="34">+J67</f>
        <v>1718.78</v>
      </c>
      <c r="M67" s="23">
        <v>1691.01</v>
      </c>
      <c r="N67" s="23">
        <f t="shared" ref="N67:N72" si="35">+J67-L67</f>
        <v>0</v>
      </c>
      <c r="O67" s="30">
        <f>+K67-M67</f>
        <v>26.980000000000018</v>
      </c>
      <c r="P67" s="23">
        <v>0</v>
      </c>
      <c r="Q67" s="23">
        <f>+J67-M67</f>
        <v>27.769999999999982</v>
      </c>
      <c r="R67" s="36" t="s">
        <v>94</v>
      </c>
      <c r="S67" s="3"/>
      <c r="T67" s="2"/>
      <c r="U67" s="2"/>
      <c r="V67" s="2"/>
      <c r="W67" s="2"/>
      <c r="X67" s="2"/>
      <c r="Y67" s="2"/>
      <c r="Z67" s="2"/>
      <c r="AA67" s="2"/>
      <c r="AB67" s="2"/>
    </row>
    <row r="68" spans="2:28" ht="15.9" customHeight="1" x14ac:dyDescent="0.25">
      <c r="B68" s="9">
        <f>+C67</f>
        <v>303</v>
      </c>
      <c r="C68" s="10">
        <v>310</v>
      </c>
      <c r="D68" s="8">
        <f>26*6</f>
        <v>156</v>
      </c>
      <c r="E68" s="8" t="s">
        <v>54</v>
      </c>
      <c r="F68" s="53">
        <v>315</v>
      </c>
      <c r="G68" s="18">
        <f>3*0.014595</f>
        <v>4.3785000000000004E-2</v>
      </c>
      <c r="H68" s="19">
        <f>1.974*G68/(POWER(0.716,2))</f>
        <v>0.16859568599606756</v>
      </c>
      <c r="I68" s="20">
        <v>0.34</v>
      </c>
      <c r="J68" s="21">
        <f>+M67</f>
        <v>1691.01</v>
      </c>
      <c r="K68" s="23">
        <f t="shared" si="33"/>
        <v>1690.67</v>
      </c>
      <c r="L68" s="23">
        <f>+M67</f>
        <v>1691.01</v>
      </c>
      <c r="M68" s="23">
        <v>1661.45</v>
      </c>
      <c r="N68" s="23">
        <f>+O67</f>
        <v>26.980000000000018</v>
      </c>
      <c r="O68" s="30">
        <f>+K68-M68</f>
        <v>29.220000000000027</v>
      </c>
      <c r="P68" s="23">
        <f>+Q67</f>
        <v>27.769999999999982</v>
      </c>
      <c r="Q68" s="23">
        <f>+J68-M68</f>
        <v>29.559999999999945</v>
      </c>
      <c r="R68" s="36" t="s">
        <v>80</v>
      </c>
      <c r="S68" s="3"/>
      <c r="T68" s="2"/>
      <c r="U68" s="2"/>
      <c r="V68" s="2"/>
      <c r="W68" s="2"/>
      <c r="X68" s="2"/>
      <c r="Y68" s="2"/>
      <c r="Z68" s="2"/>
      <c r="AA68" s="2"/>
      <c r="AB68" s="2"/>
    </row>
    <row r="69" spans="2:28" ht="15.9" customHeight="1" x14ac:dyDescent="0.25">
      <c r="B69" s="9">
        <f>+B68</f>
        <v>303</v>
      </c>
      <c r="C69" s="10">
        <v>323</v>
      </c>
      <c r="D69" s="31">
        <f>40*6</f>
        <v>240</v>
      </c>
      <c r="E69" s="8" t="s">
        <v>57</v>
      </c>
      <c r="F69" s="53">
        <v>160</v>
      </c>
      <c r="G69" s="18">
        <f t="shared" ref="G69" si="36">18*0.014595</f>
        <v>0.26271</v>
      </c>
      <c r="H69" s="19">
        <f>1.974*G69/(POWER(1.195,2))</f>
        <v>0.36315158348068133</v>
      </c>
      <c r="I69" s="20">
        <v>1.37</v>
      </c>
      <c r="J69" s="21">
        <f>+J68</f>
        <v>1691.01</v>
      </c>
      <c r="K69" s="23">
        <f t="shared" si="33"/>
        <v>1689.64</v>
      </c>
      <c r="L69" s="23">
        <f>+L68</f>
        <v>1691.01</v>
      </c>
      <c r="M69" s="23">
        <v>1639.04</v>
      </c>
      <c r="N69" s="23">
        <f>+N68</f>
        <v>26.980000000000018</v>
      </c>
      <c r="O69" s="30">
        <f t="shared" ref="O69:O73" si="37">+K69-M69</f>
        <v>50.600000000000136</v>
      </c>
      <c r="P69" s="23">
        <f>+P68</f>
        <v>27.769999999999982</v>
      </c>
      <c r="Q69" s="23">
        <f>+J68-M69</f>
        <v>51.970000000000027</v>
      </c>
      <c r="R69" s="36" t="s">
        <v>95</v>
      </c>
      <c r="S69" s="3"/>
      <c r="T69" s="2"/>
      <c r="U69" s="2"/>
      <c r="V69" s="2"/>
      <c r="W69" s="2"/>
      <c r="X69" s="2"/>
      <c r="Y69" s="2"/>
      <c r="Z69" s="2"/>
      <c r="AA69" s="2"/>
      <c r="AB69" s="2"/>
    </row>
    <row r="70" spans="2:28" ht="15.9" customHeight="1" x14ac:dyDescent="0.25">
      <c r="B70" s="96" t="s">
        <v>93</v>
      </c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8"/>
      <c r="S70" s="3"/>
      <c r="T70" s="2"/>
      <c r="U70" s="2"/>
      <c r="V70" s="2"/>
      <c r="W70" s="2"/>
      <c r="X70" s="2"/>
      <c r="Y70" s="2"/>
      <c r="Z70" s="2"/>
      <c r="AA70" s="2"/>
      <c r="AB70" s="2"/>
    </row>
    <row r="71" spans="2:28" ht="15.9" customHeight="1" x14ac:dyDescent="0.25">
      <c r="B71" s="9">
        <v>258</v>
      </c>
      <c r="C71" s="10">
        <v>260</v>
      </c>
      <c r="D71" s="31">
        <f>6*8</f>
        <v>48</v>
      </c>
      <c r="E71" s="8" t="s">
        <v>57</v>
      </c>
      <c r="F71" s="53">
        <v>160</v>
      </c>
      <c r="G71" s="18">
        <f>18*0.014595</f>
        <v>0.26271</v>
      </c>
      <c r="H71" s="19">
        <f>1.974*G71/(POWER(1.195,2))</f>
        <v>0.36315158348068133</v>
      </c>
      <c r="I71" s="20">
        <v>0.27</v>
      </c>
      <c r="J71" s="21">
        <f>+J67</f>
        <v>1718.78</v>
      </c>
      <c r="K71" s="23">
        <f t="shared" si="33"/>
        <v>1718.51</v>
      </c>
      <c r="L71" s="23">
        <f>+J71</f>
        <v>1718.78</v>
      </c>
      <c r="M71" s="23">
        <v>1700.05</v>
      </c>
      <c r="N71" s="23">
        <f t="shared" si="35"/>
        <v>0</v>
      </c>
      <c r="O71" s="30">
        <f t="shared" si="37"/>
        <v>18.460000000000036</v>
      </c>
      <c r="P71" s="23">
        <f>+Q69</f>
        <v>51.970000000000027</v>
      </c>
      <c r="Q71" s="23">
        <f>+$J$71-M71</f>
        <v>18.730000000000018</v>
      </c>
      <c r="R71" s="36" t="s">
        <v>82</v>
      </c>
      <c r="S71" s="3"/>
      <c r="T71" s="2"/>
      <c r="U71" s="2"/>
      <c r="V71" s="2"/>
      <c r="W71" s="2"/>
      <c r="X71" s="2"/>
      <c r="Y71" s="2"/>
      <c r="Z71" s="2"/>
      <c r="AA71" s="2"/>
      <c r="AB71" s="2"/>
    </row>
    <row r="72" spans="2:28" ht="15.9" customHeight="1" x14ac:dyDescent="0.25">
      <c r="B72" s="9">
        <f>+C71</f>
        <v>260</v>
      </c>
      <c r="C72" s="10">
        <v>261</v>
      </c>
      <c r="D72" s="31">
        <f>3*6</f>
        <v>18</v>
      </c>
      <c r="E72" s="8" t="s">
        <v>25</v>
      </c>
      <c r="F72" s="53">
        <v>250</v>
      </c>
      <c r="G72" s="18">
        <f>4*0.014595</f>
        <v>5.8380000000000001E-2</v>
      </c>
      <c r="H72" s="19">
        <f>1.974*G72/(POWER(0.926,2))</f>
        <v>0.1343969044031553</v>
      </c>
      <c r="I72" s="20">
        <v>0.02</v>
      </c>
      <c r="J72" s="21">
        <f>+K71</f>
        <v>1718.51</v>
      </c>
      <c r="K72" s="23">
        <f t="shared" si="33"/>
        <v>1718.49</v>
      </c>
      <c r="L72" s="23">
        <f>+M71</f>
        <v>1700.05</v>
      </c>
      <c r="M72" s="23">
        <v>1697.26</v>
      </c>
      <c r="N72" s="23">
        <f t="shared" si="35"/>
        <v>18.460000000000036</v>
      </c>
      <c r="O72" s="30">
        <f t="shared" si="37"/>
        <v>21.230000000000018</v>
      </c>
      <c r="P72" s="23">
        <f>+Q71</f>
        <v>18.730000000000018</v>
      </c>
      <c r="Q72" s="23">
        <f t="shared" ref="Q72:Q84" si="38">+$J$71-M72</f>
        <v>21.519999999999982</v>
      </c>
      <c r="R72" s="36" t="s">
        <v>83</v>
      </c>
      <c r="S72" s="3"/>
      <c r="T72" s="2"/>
      <c r="U72" s="2"/>
      <c r="V72" s="2"/>
      <c r="W72" s="2"/>
      <c r="X72" s="2"/>
      <c r="Y72" s="2"/>
      <c r="Z72" s="2"/>
      <c r="AA72" s="2"/>
      <c r="AB72" s="2"/>
    </row>
    <row r="73" spans="2:28" ht="15.9" customHeight="1" x14ac:dyDescent="0.25">
      <c r="B73" s="9">
        <f>+C72</f>
        <v>261</v>
      </c>
      <c r="C73" s="10">
        <v>263</v>
      </c>
      <c r="D73" s="31">
        <f>6*6</f>
        <v>36</v>
      </c>
      <c r="E73" s="8" t="s">
        <v>54</v>
      </c>
      <c r="F73" s="53">
        <v>315</v>
      </c>
      <c r="G73" s="18">
        <f>3*0.014595</f>
        <v>4.3785000000000004E-2</v>
      </c>
      <c r="H73" s="19">
        <f t="shared" ref="H73:H84" si="39">1.974*G73/(POWER(0.716,2))</f>
        <v>0.16859568599606756</v>
      </c>
      <c r="I73" s="20">
        <v>0.08</v>
      </c>
      <c r="J73" s="21">
        <f>+K72</f>
        <v>1718.49</v>
      </c>
      <c r="K73" s="23">
        <f t="shared" si="33"/>
        <v>1718.41</v>
      </c>
      <c r="L73" s="23">
        <f>+M72</f>
        <v>1697.26</v>
      </c>
      <c r="M73" s="23">
        <v>1690.41</v>
      </c>
      <c r="N73" s="23">
        <f>+O72</f>
        <v>21.230000000000018</v>
      </c>
      <c r="O73" s="30">
        <f t="shared" si="37"/>
        <v>28</v>
      </c>
      <c r="P73" s="23">
        <f>+Q72</f>
        <v>21.519999999999982</v>
      </c>
      <c r="Q73" s="23">
        <f t="shared" si="38"/>
        <v>28.369999999999891</v>
      </c>
      <c r="R73" s="36" t="s">
        <v>55</v>
      </c>
      <c r="S73" s="3"/>
      <c r="T73" s="2"/>
      <c r="U73" s="2"/>
      <c r="V73" s="2"/>
      <c r="W73" s="2"/>
      <c r="X73" s="2"/>
      <c r="Y73" s="2"/>
      <c r="Z73" s="2"/>
      <c r="AA73" s="2"/>
      <c r="AB73" s="2"/>
    </row>
    <row r="74" spans="2:28" ht="15.9" customHeight="1" x14ac:dyDescent="0.25">
      <c r="B74" s="9">
        <f>+B73</f>
        <v>261</v>
      </c>
      <c r="C74" s="10">
        <v>272</v>
      </c>
      <c r="D74" s="31">
        <f>9*6</f>
        <v>54</v>
      </c>
      <c r="E74" s="8" t="s">
        <v>54</v>
      </c>
      <c r="F74" s="53">
        <v>315</v>
      </c>
      <c r="G74" s="18">
        <f>1*0.014595</f>
        <v>1.4595E-2</v>
      </c>
      <c r="H74" s="19">
        <f t="shared" si="39"/>
        <v>5.6198561998689181E-2</v>
      </c>
      <c r="I74" s="20">
        <v>0.01</v>
      </c>
      <c r="J74" s="21">
        <f>+J73</f>
        <v>1718.49</v>
      </c>
      <c r="K74" s="23">
        <f t="shared" si="33"/>
        <v>1718.48</v>
      </c>
      <c r="L74" s="23">
        <f>+L73</f>
        <v>1697.26</v>
      </c>
      <c r="M74" s="23">
        <v>1690.93</v>
      </c>
      <c r="N74" s="23">
        <f>+N73</f>
        <v>21.230000000000018</v>
      </c>
      <c r="O74" s="30">
        <f>+K74-M74</f>
        <v>27.549999999999955</v>
      </c>
      <c r="P74" s="23">
        <f>+P73</f>
        <v>21.519999999999982</v>
      </c>
      <c r="Q74" s="23">
        <f t="shared" si="38"/>
        <v>27.849999999999909</v>
      </c>
      <c r="R74" s="36" t="s">
        <v>86</v>
      </c>
      <c r="S74" s="3"/>
      <c r="T74" s="2"/>
      <c r="U74" s="2"/>
      <c r="V74" s="2"/>
      <c r="W74" s="2"/>
      <c r="X74" s="2"/>
      <c r="Y74" s="2"/>
      <c r="Z74" s="2"/>
      <c r="AA74" s="2"/>
      <c r="AB74" s="2"/>
    </row>
    <row r="75" spans="2:28" x14ac:dyDescent="0.25">
      <c r="B75" s="9">
        <v>263</v>
      </c>
      <c r="C75" s="10">
        <v>266</v>
      </c>
      <c r="D75" s="31">
        <f>10*6</f>
        <v>60</v>
      </c>
      <c r="E75" s="8" t="s">
        <v>54</v>
      </c>
      <c r="F75" s="53">
        <v>315</v>
      </c>
      <c r="G75" s="18">
        <f>1*0.014595</f>
        <v>1.4595E-2</v>
      </c>
      <c r="H75" s="19">
        <f t="shared" si="39"/>
        <v>5.6198561998689181E-2</v>
      </c>
      <c r="I75" s="20">
        <v>0.01</v>
      </c>
      <c r="J75" s="21">
        <f>+K73</f>
        <v>1718.41</v>
      </c>
      <c r="K75" s="23">
        <f t="shared" ref="K75:K84" si="40">+J75-I75</f>
        <v>1718.4</v>
      </c>
      <c r="L75" s="23">
        <f>+M73</f>
        <v>1690.41</v>
      </c>
      <c r="M75" s="23">
        <v>1684.05</v>
      </c>
      <c r="N75" s="23">
        <f>+O73</f>
        <v>28</v>
      </c>
      <c r="O75" s="30">
        <f t="shared" ref="O75:O82" si="41">+K75-M75</f>
        <v>34.350000000000136</v>
      </c>
      <c r="P75" s="23">
        <f>+Q73</f>
        <v>28.369999999999891</v>
      </c>
      <c r="Q75" s="23">
        <f t="shared" si="38"/>
        <v>34.730000000000018</v>
      </c>
      <c r="R75" s="36" t="s">
        <v>86</v>
      </c>
    </row>
    <row r="76" spans="2:28" x14ac:dyDescent="0.25">
      <c r="B76" s="9">
        <v>263</v>
      </c>
      <c r="C76" s="10">
        <v>269</v>
      </c>
      <c r="D76" s="31">
        <f>10*6</f>
        <v>60</v>
      </c>
      <c r="E76" s="8" t="s">
        <v>54</v>
      </c>
      <c r="F76" s="53">
        <v>315</v>
      </c>
      <c r="G76" s="18">
        <f>2*0.014595</f>
        <v>2.9190000000000001E-2</v>
      </c>
      <c r="H76" s="19">
        <f t="shared" si="39"/>
        <v>0.11239712399737836</v>
      </c>
      <c r="I76" s="20">
        <v>0.08</v>
      </c>
      <c r="J76" s="21">
        <f>+J75</f>
        <v>1718.41</v>
      </c>
      <c r="K76" s="23">
        <f t="shared" si="40"/>
        <v>1718.3300000000002</v>
      </c>
      <c r="L76" s="23">
        <f>+L75</f>
        <v>1690.41</v>
      </c>
      <c r="M76" s="23">
        <v>1677.35</v>
      </c>
      <c r="N76" s="23">
        <f>+N75</f>
        <v>28</v>
      </c>
      <c r="O76" s="30">
        <f t="shared" si="41"/>
        <v>40.980000000000246</v>
      </c>
      <c r="P76" s="23">
        <f>+P75</f>
        <v>28.369999999999891</v>
      </c>
      <c r="Q76" s="23">
        <f t="shared" si="38"/>
        <v>41.430000000000064</v>
      </c>
      <c r="R76" s="36" t="s">
        <v>86</v>
      </c>
    </row>
    <row r="77" spans="2:28" x14ac:dyDescent="0.25">
      <c r="B77" s="9">
        <v>260</v>
      </c>
      <c r="C77" s="10">
        <v>276</v>
      </c>
      <c r="D77" s="31">
        <f>22*6</f>
        <v>132</v>
      </c>
      <c r="E77" s="8" t="s">
        <v>54</v>
      </c>
      <c r="F77" s="53">
        <v>315</v>
      </c>
      <c r="G77" s="18">
        <f>3*0.014595</f>
        <v>4.3785000000000004E-2</v>
      </c>
      <c r="H77" s="19">
        <f t="shared" si="39"/>
        <v>0.16859568599606756</v>
      </c>
      <c r="I77" s="20">
        <v>0.28999999999999998</v>
      </c>
      <c r="J77" s="21">
        <f>+J72</f>
        <v>1718.51</v>
      </c>
      <c r="K77" s="23">
        <f t="shared" si="40"/>
        <v>1718.22</v>
      </c>
      <c r="L77" s="23">
        <f>+L76</f>
        <v>1690.41</v>
      </c>
      <c r="M77" s="23">
        <v>1688.81</v>
      </c>
      <c r="N77" s="23">
        <f>+N72</f>
        <v>18.460000000000036</v>
      </c>
      <c r="O77" s="30">
        <f t="shared" si="41"/>
        <v>29.410000000000082</v>
      </c>
      <c r="P77" s="23">
        <f>+P72</f>
        <v>18.730000000000018</v>
      </c>
      <c r="Q77" s="23">
        <f t="shared" si="38"/>
        <v>29.970000000000027</v>
      </c>
      <c r="R77" s="36" t="s">
        <v>86</v>
      </c>
    </row>
    <row r="78" spans="2:28" x14ac:dyDescent="0.25">
      <c r="B78" s="9">
        <v>276</v>
      </c>
      <c r="C78" s="10">
        <v>278</v>
      </c>
      <c r="D78" s="31">
        <f>6*6</f>
        <v>36</v>
      </c>
      <c r="E78" s="8" t="s">
        <v>25</v>
      </c>
      <c r="F78" s="53">
        <v>250</v>
      </c>
      <c r="G78" s="18">
        <f>6*0.014595</f>
        <v>8.7570000000000009E-2</v>
      </c>
      <c r="H78" s="19">
        <f t="shared" ref="H78:H81" si="42">1.974*G78/(POWER(0.926,2))</f>
        <v>0.20159535660473293</v>
      </c>
      <c r="I78" s="20">
        <v>0.1</v>
      </c>
      <c r="J78" s="21">
        <f>+K77</f>
        <v>1718.22</v>
      </c>
      <c r="K78" s="23">
        <f t="shared" si="40"/>
        <v>1718.1200000000001</v>
      </c>
      <c r="L78" s="23">
        <f>+M77</f>
        <v>1688.81</v>
      </c>
      <c r="M78" s="23">
        <v>1681.87</v>
      </c>
      <c r="N78" s="23">
        <f>+O77</f>
        <v>29.410000000000082</v>
      </c>
      <c r="O78" s="30">
        <f t="shared" si="41"/>
        <v>36.250000000000227</v>
      </c>
      <c r="P78" s="23">
        <f>+Q77</f>
        <v>29.970000000000027</v>
      </c>
      <c r="Q78" s="23">
        <f t="shared" si="38"/>
        <v>36.910000000000082</v>
      </c>
      <c r="R78" s="36" t="s">
        <v>86</v>
      </c>
    </row>
    <row r="79" spans="2:28" x14ac:dyDescent="0.25">
      <c r="B79" s="9">
        <f>+C78</f>
        <v>278</v>
      </c>
      <c r="C79" s="10">
        <v>284</v>
      </c>
      <c r="D79" s="31">
        <f>18*6</f>
        <v>108</v>
      </c>
      <c r="E79" s="8" t="s">
        <v>54</v>
      </c>
      <c r="F79" s="53">
        <v>315</v>
      </c>
      <c r="G79" s="18">
        <f>3*0.014595</f>
        <v>4.3785000000000004E-2</v>
      </c>
      <c r="H79" s="19">
        <f t="shared" si="39"/>
        <v>0.16859568599606756</v>
      </c>
      <c r="I79" s="20">
        <v>0.23</v>
      </c>
      <c r="J79" s="21">
        <f>+K78</f>
        <v>1718.1200000000001</v>
      </c>
      <c r="K79" s="23">
        <f t="shared" si="40"/>
        <v>1717.89</v>
      </c>
      <c r="L79" s="23">
        <f>+M78</f>
        <v>1681.87</v>
      </c>
      <c r="M79" s="23">
        <v>1670.46</v>
      </c>
      <c r="N79" s="23">
        <f>+O78</f>
        <v>36.250000000000227</v>
      </c>
      <c r="O79" s="30">
        <f t="shared" si="41"/>
        <v>47.430000000000064</v>
      </c>
      <c r="P79" s="23">
        <f t="shared" ref="P79:P84" si="43">+P77</f>
        <v>18.730000000000018</v>
      </c>
      <c r="Q79" s="23">
        <f t="shared" si="38"/>
        <v>48.319999999999936</v>
      </c>
      <c r="R79" s="36" t="s">
        <v>86</v>
      </c>
    </row>
    <row r="80" spans="2:28" x14ac:dyDescent="0.25">
      <c r="B80" s="9">
        <f>+B79</f>
        <v>278</v>
      </c>
      <c r="C80" s="10">
        <v>286</v>
      </c>
      <c r="D80" s="31">
        <f>4*6</f>
        <v>24</v>
      </c>
      <c r="E80" s="8" t="s">
        <v>54</v>
      </c>
      <c r="F80" s="53">
        <v>315</v>
      </c>
      <c r="G80" s="18">
        <f>3*0.014595</f>
        <v>4.3785000000000004E-2</v>
      </c>
      <c r="H80" s="19">
        <f t="shared" si="39"/>
        <v>0.16859568599606756</v>
      </c>
      <c r="I80" s="20">
        <v>0.05</v>
      </c>
      <c r="J80" s="21">
        <f>+J79</f>
        <v>1718.1200000000001</v>
      </c>
      <c r="K80" s="23">
        <f t="shared" si="40"/>
        <v>1718.0700000000002</v>
      </c>
      <c r="L80" s="23">
        <f>+L79</f>
        <v>1681.87</v>
      </c>
      <c r="M80" s="23">
        <v>1678.33</v>
      </c>
      <c r="N80" s="23">
        <f>+N79</f>
        <v>36.250000000000227</v>
      </c>
      <c r="O80" s="30">
        <f t="shared" si="41"/>
        <v>39.740000000000236</v>
      </c>
      <c r="P80" s="23">
        <f t="shared" si="43"/>
        <v>29.970000000000027</v>
      </c>
      <c r="Q80" s="23">
        <f t="shared" si="38"/>
        <v>40.450000000000045</v>
      </c>
      <c r="R80" s="36" t="s">
        <v>86</v>
      </c>
    </row>
    <row r="81" spans="2:18" x14ac:dyDescent="0.25">
      <c r="B81" s="9">
        <v>276</v>
      </c>
      <c r="C81" s="10">
        <v>291</v>
      </c>
      <c r="D81" s="31">
        <f>25*6</f>
        <v>150</v>
      </c>
      <c r="E81" s="8" t="s">
        <v>25</v>
      </c>
      <c r="F81" s="53">
        <v>250</v>
      </c>
      <c r="G81" s="18">
        <f>4*0.014595</f>
        <v>5.8380000000000001E-2</v>
      </c>
      <c r="H81" s="19">
        <f t="shared" si="42"/>
        <v>0.1343969044031553</v>
      </c>
      <c r="I81" s="20">
        <v>0.2</v>
      </c>
      <c r="J81" s="21">
        <f>+J78</f>
        <v>1718.22</v>
      </c>
      <c r="K81" s="23">
        <f t="shared" si="40"/>
        <v>1718.02</v>
      </c>
      <c r="L81" s="23">
        <f>+L78</f>
        <v>1688.81</v>
      </c>
      <c r="M81" s="23">
        <v>1668.95</v>
      </c>
      <c r="N81" s="23">
        <f>+N78</f>
        <v>29.410000000000082</v>
      </c>
      <c r="O81" s="30">
        <f t="shared" si="41"/>
        <v>49.069999999999936</v>
      </c>
      <c r="P81" s="23">
        <f t="shared" si="43"/>
        <v>18.730000000000018</v>
      </c>
      <c r="Q81" s="23">
        <f t="shared" si="38"/>
        <v>49.829999999999927</v>
      </c>
      <c r="R81" s="36" t="s">
        <v>86</v>
      </c>
    </row>
    <row r="82" spans="2:18" x14ac:dyDescent="0.25">
      <c r="B82" s="9">
        <v>294</v>
      </c>
      <c r="C82" s="10">
        <v>295</v>
      </c>
      <c r="D82" s="31">
        <v>24</v>
      </c>
      <c r="E82" s="8" t="s">
        <v>54</v>
      </c>
      <c r="F82" s="53">
        <v>315</v>
      </c>
      <c r="G82" s="18">
        <f>1*0.014595</f>
        <v>1.4595E-2</v>
      </c>
      <c r="H82" s="19">
        <f t="shared" si="39"/>
        <v>5.6198561998689181E-2</v>
      </c>
      <c r="I82" s="20">
        <v>0.01</v>
      </c>
      <c r="J82" s="21">
        <f>+J71</f>
        <v>1718.78</v>
      </c>
      <c r="K82" s="23">
        <f t="shared" si="40"/>
        <v>1718.77</v>
      </c>
      <c r="L82" s="23">
        <v>1713.05</v>
      </c>
      <c r="M82" s="23">
        <v>1709.14</v>
      </c>
      <c r="N82" s="23">
        <f>+J82-L82</f>
        <v>5.7300000000000182</v>
      </c>
      <c r="O82" s="30">
        <f t="shared" si="41"/>
        <v>9.6299999999998818</v>
      </c>
      <c r="P82" s="23">
        <f t="shared" si="43"/>
        <v>29.970000000000027</v>
      </c>
      <c r="Q82" s="23">
        <f t="shared" si="38"/>
        <v>9.6399999999998727</v>
      </c>
      <c r="R82" s="36" t="s">
        <v>98</v>
      </c>
    </row>
    <row r="83" spans="2:18" x14ac:dyDescent="0.25">
      <c r="B83" s="9">
        <v>298</v>
      </c>
      <c r="C83" s="10">
        <v>299</v>
      </c>
      <c r="D83" s="31">
        <v>24</v>
      </c>
      <c r="E83" s="8" t="s">
        <v>54</v>
      </c>
      <c r="F83" s="53">
        <v>315</v>
      </c>
      <c r="G83" s="18">
        <f t="shared" ref="G83:G84" si="44">1*0.014595</f>
        <v>1.4595E-2</v>
      </c>
      <c r="H83" s="19">
        <f t="shared" si="39"/>
        <v>5.6198561998689181E-2</v>
      </c>
      <c r="I83" s="20">
        <v>0.01</v>
      </c>
      <c r="J83" s="33">
        <f>+J71</f>
        <v>1718.78</v>
      </c>
      <c r="K83" s="23">
        <f t="shared" si="40"/>
        <v>1718.77</v>
      </c>
      <c r="L83" s="32">
        <v>1702.59</v>
      </c>
      <c r="M83" s="23">
        <v>1702.59</v>
      </c>
      <c r="N83" s="23">
        <f t="shared" ref="N83:N84" si="45">+J83-L83</f>
        <v>16.190000000000055</v>
      </c>
      <c r="O83" s="30">
        <f t="shared" ref="O83:O84" si="46">+K83-M83</f>
        <v>16.180000000000064</v>
      </c>
      <c r="P83" s="23">
        <f t="shared" si="43"/>
        <v>18.730000000000018</v>
      </c>
      <c r="Q83" s="23">
        <f t="shared" si="38"/>
        <v>16.190000000000055</v>
      </c>
      <c r="R83" s="36" t="s">
        <v>96</v>
      </c>
    </row>
    <row r="84" spans="2:18" ht="13.8" thickBot="1" x14ac:dyDescent="0.3">
      <c r="B84" s="39">
        <v>315</v>
      </c>
      <c r="C84" s="40">
        <v>316</v>
      </c>
      <c r="D84" s="41">
        <v>24</v>
      </c>
      <c r="E84" s="42" t="s">
        <v>54</v>
      </c>
      <c r="F84" s="43">
        <v>315</v>
      </c>
      <c r="G84" s="44">
        <f t="shared" si="44"/>
        <v>1.4595E-2</v>
      </c>
      <c r="H84" s="45">
        <f t="shared" si="39"/>
        <v>5.6198561998689181E-2</v>
      </c>
      <c r="I84" s="46">
        <v>0.01</v>
      </c>
      <c r="J84" s="47">
        <f>+J71</f>
        <v>1718.78</v>
      </c>
      <c r="K84" s="48">
        <f t="shared" si="40"/>
        <v>1718.77</v>
      </c>
      <c r="L84" s="41">
        <v>1664.51</v>
      </c>
      <c r="M84" s="48">
        <v>1660.98</v>
      </c>
      <c r="N84" s="48">
        <f t="shared" si="45"/>
        <v>54.269999999999982</v>
      </c>
      <c r="O84" s="49">
        <f t="shared" si="46"/>
        <v>57.789999999999964</v>
      </c>
      <c r="P84" s="48">
        <f t="shared" si="43"/>
        <v>29.970000000000027</v>
      </c>
      <c r="Q84" s="48">
        <f t="shared" si="38"/>
        <v>57.799999999999955</v>
      </c>
      <c r="R84" s="50" t="s">
        <v>97</v>
      </c>
    </row>
    <row r="85" spans="2:18" x14ac:dyDescent="0.25">
      <c r="O85" s="11"/>
    </row>
  </sheetData>
  <mergeCells count="23">
    <mergeCell ref="B66:R66"/>
    <mergeCell ref="B70:R70"/>
    <mergeCell ref="B33:R33"/>
    <mergeCell ref="B9:R9"/>
    <mergeCell ref="B63:R63"/>
    <mergeCell ref="B65:R65"/>
    <mergeCell ref="B48:R48"/>
    <mergeCell ref="B49:R49"/>
    <mergeCell ref="B59:R59"/>
    <mergeCell ref="B14:R14"/>
    <mergeCell ref="B16:R16"/>
    <mergeCell ref="B17:R17"/>
    <mergeCell ref="B2:R2"/>
    <mergeCell ref="J6:K6"/>
    <mergeCell ref="B7:C7"/>
    <mergeCell ref="J7:K7"/>
    <mergeCell ref="P7:Q7"/>
    <mergeCell ref="P6:Q6"/>
    <mergeCell ref="N7:O7"/>
    <mergeCell ref="N6:O6"/>
    <mergeCell ref="L7:M7"/>
    <mergeCell ref="L6:M6"/>
    <mergeCell ref="B3:R3"/>
  </mergeCells>
  <phoneticPr fontId="0" type="noConversion"/>
  <pageMargins left="0.23622047244094491" right="0" top="0.74803149606299213" bottom="0.74803149606299213" header="0.31496062992125984" footer="0.31496062992125984"/>
  <pageSetup scale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C6F6DD51B699468D59E317B270A06A" ma:contentTypeVersion="12" ma:contentTypeDescription="Crear nuevo documento." ma:contentTypeScope="" ma:versionID="1aef110f9f27b8d4b68a99cf7c7d8071">
  <xsd:schema xmlns:xsd="http://www.w3.org/2001/XMLSchema" xmlns:xs="http://www.w3.org/2001/XMLSchema" xmlns:p="http://schemas.microsoft.com/office/2006/metadata/properties" xmlns:ns2="3ce8fdd0-ae9c-446d-a67d-7c2abe796fc3" xmlns:ns3="58dbc513-212d-478d-bdd6-a3ebae353c9d" targetNamespace="http://schemas.microsoft.com/office/2006/metadata/properties" ma:root="true" ma:fieldsID="5813301bab6857fdf937c619a9fb1aea" ns2:_="" ns3:_="">
    <xsd:import namespace="3ce8fdd0-ae9c-446d-a67d-7c2abe796fc3"/>
    <xsd:import namespace="58dbc513-212d-478d-bdd6-a3ebae353c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8fdd0-ae9c-446d-a67d-7c2abe796f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bc43cd4-23ed-4fb6-b16a-0777e254c0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bc513-212d-478d-bdd6-a3ebae353c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893e37-b5dd-4b4c-bea7-18bbebc9808f}" ma:internalName="TaxCatchAll" ma:showField="CatchAllData" ma:web="58dbc513-212d-478d-bdd6-a3ebae353c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dbc513-212d-478d-bdd6-a3ebae353c9d" xsi:nil="true"/>
    <lcf76f155ced4ddcb4097134ff3c332f xmlns="3ce8fdd0-ae9c-446d-a67d-7c2abe796fc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64D7A3-C82F-4F9B-82FE-A1481366D293}"/>
</file>

<file path=customXml/itemProps2.xml><?xml version="1.0" encoding="utf-8"?>
<ds:datastoreItem xmlns:ds="http://schemas.openxmlformats.org/officeDocument/2006/customXml" ds:itemID="{A7ECB63B-E48B-439D-BB03-8FD4EE5AF8E0}"/>
</file>

<file path=customXml/itemProps3.xml><?xml version="1.0" encoding="utf-8"?>
<ds:datastoreItem xmlns:ds="http://schemas.openxmlformats.org/officeDocument/2006/customXml" ds:itemID="{70837FD3-815D-4C92-A594-295D033410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CPI</dc:creator>
  <cp:lastModifiedBy>Juan Jose Gomez Orellana</cp:lastModifiedBy>
  <cp:lastPrinted>2026-03-18T13:55:14Z</cp:lastPrinted>
  <dcterms:created xsi:type="dcterms:W3CDTF">2000-07-18T00:51:19Z</dcterms:created>
  <dcterms:modified xsi:type="dcterms:W3CDTF">2026-03-27T23:45:03Z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0x0101002FC6F6DD51B699468D59E317B270A06A</vt:lpwstr>
  </property>
</Properties>
</file>